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12.ปี 2567\01. รายงานแผนงาน-ผลงาน ปี 67\2.ข้อมูล Export จาก Google Sheet\21. 30 ก.ย. 67 Update เงินกองทุน Final\"/>
    </mc:Choice>
  </mc:AlternateContent>
  <xr:revisionPtr revIDLastSave="0" documentId="13_ncr:1_{15F91DB2-4453-415A-9344-A8F7FB143C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ทั้งประเทศ" sheetId="1" r:id="rId1"/>
  </sheets>
  <definedNames>
    <definedName name="_xlnm.Print_Titles" localSheetId="0">ทั้งประเทศ!$4:$6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7" i="1" l="1"/>
  <c r="I687" i="1"/>
  <c r="I367" i="1" l="1"/>
  <c r="K367" i="1" s="1"/>
  <c r="A796" i="1" l="1"/>
  <c r="A795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H784" i="1"/>
  <c r="U783" i="1"/>
  <c r="T783" i="1"/>
  <c r="J783" i="1"/>
  <c r="K783" i="1" s="1"/>
  <c r="U782" i="1"/>
  <c r="T782" i="1"/>
  <c r="J782" i="1"/>
  <c r="K782" i="1" s="1"/>
  <c r="S780" i="1"/>
  <c r="S778" i="1" s="1"/>
  <c r="R780" i="1"/>
  <c r="U780" i="1" s="1"/>
  <c r="Q780" i="1"/>
  <c r="T780" i="1" s="1"/>
  <c r="P780" i="1"/>
  <c r="O780" i="1"/>
  <c r="U779" i="1"/>
  <c r="T779" i="1"/>
  <c r="P779" i="1"/>
  <c r="O779" i="1"/>
  <c r="N778" i="1"/>
  <c r="M778" i="1"/>
  <c r="P778" i="1" s="1"/>
  <c r="L778" i="1"/>
  <c r="O778" i="1" s="1"/>
  <c r="S777" i="1"/>
  <c r="S775" i="1" s="1"/>
  <c r="R777" i="1"/>
  <c r="U777" i="1" s="1"/>
  <c r="Q777" i="1"/>
  <c r="Q775" i="1" s="1"/>
  <c r="T775" i="1" s="1"/>
  <c r="P777" i="1"/>
  <c r="O777" i="1"/>
  <c r="U776" i="1"/>
  <c r="T776" i="1"/>
  <c r="P776" i="1"/>
  <c r="O776" i="1"/>
  <c r="N775" i="1"/>
  <c r="M775" i="1"/>
  <c r="P775" i="1" s="1"/>
  <c r="L775" i="1"/>
  <c r="O775" i="1" s="1"/>
  <c r="S774" i="1"/>
  <c r="R774" i="1"/>
  <c r="Q774" i="1"/>
  <c r="N774" i="1"/>
  <c r="M774" i="1"/>
  <c r="L774" i="1"/>
  <c r="O774" i="1" s="1"/>
  <c r="S773" i="1"/>
  <c r="R773" i="1"/>
  <c r="U773" i="1" s="1"/>
  <c r="Q773" i="1"/>
  <c r="T773" i="1" s="1"/>
  <c r="N773" i="1"/>
  <c r="M773" i="1"/>
  <c r="P773" i="1" s="1"/>
  <c r="L773" i="1"/>
  <c r="O773" i="1" s="1"/>
  <c r="S772" i="1"/>
  <c r="R772" i="1"/>
  <c r="Q772" i="1"/>
  <c r="I770" i="1"/>
  <c r="J769" i="1"/>
  <c r="I769" i="1"/>
  <c r="J768" i="1"/>
  <c r="I768" i="1"/>
  <c r="J767" i="1"/>
  <c r="J752" i="1" s="1"/>
  <c r="I767" i="1"/>
  <c r="J765" i="1"/>
  <c r="J751" i="1" s="1"/>
  <c r="I765" i="1"/>
  <c r="K763" i="1"/>
  <c r="U761" i="1"/>
  <c r="T761" i="1"/>
  <c r="N761" i="1"/>
  <c r="M761" i="1"/>
  <c r="P761" i="1" s="1"/>
  <c r="L761" i="1"/>
  <c r="O761" i="1" s="1"/>
  <c r="U760" i="1"/>
  <c r="T760" i="1"/>
  <c r="N760" i="1"/>
  <c r="M760" i="1"/>
  <c r="P760" i="1" s="1"/>
  <c r="L760" i="1"/>
  <c r="S759" i="1"/>
  <c r="R759" i="1"/>
  <c r="U759" i="1" s="1"/>
  <c r="Q759" i="1"/>
  <c r="T759" i="1" s="1"/>
  <c r="U758" i="1"/>
  <c r="T758" i="1"/>
  <c r="N758" i="1"/>
  <c r="M758" i="1"/>
  <c r="P758" i="1" s="1"/>
  <c r="L758" i="1"/>
  <c r="O758" i="1" s="1"/>
  <c r="U757" i="1"/>
  <c r="T757" i="1"/>
  <c r="N757" i="1"/>
  <c r="M757" i="1"/>
  <c r="P757" i="1" s="1"/>
  <c r="L757" i="1"/>
  <c r="S756" i="1"/>
  <c r="R756" i="1"/>
  <c r="U756" i="1" s="1"/>
  <c r="Q756" i="1"/>
  <c r="T756" i="1" s="1"/>
  <c r="S755" i="1"/>
  <c r="R755" i="1"/>
  <c r="Q755" i="1"/>
  <c r="S754" i="1"/>
  <c r="R754" i="1"/>
  <c r="Q754" i="1"/>
  <c r="J749" i="1"/>
  <c r="J748" i="1"/>
  <c r="I748" i="1"/>
  <c r="J746" i="1"/>
  <c r="J745" i="1"/>
  <c r="I745" i="1"/>
  <c r="J742" i="1"/>
  <c r="I742" i="1"/>
  <c r="J741" i="1"/>
  <c r="J739" i="1"/>
  <c r="I739" i="1"/>
  <c r="J738" i="1"/>
  <c r="J737" i="1"/>
  <c r="I737" i="1"/>
  <c r="J735" i="1"/>
  <c r="I735" i="1"/>
  <c r="J734" i="1"/>
  <c r="J733" i="1"/>
  <c r="I733" i="1"/>
  <c r="S729" i="1"/>
  <c r="S727" i="1" s="1"/>
  <c r="R729" i="1"/>
  <c r="U729" i="1" s="1"/>
  <c r="Q729" i="1"/>
  <c r="T729" i="1" s="1"/>
  <c r="N729" i="1"/>
  <c r="M729" i="1"/>
  <c r="P729" i="1" s="1"/>
  <c r="L729" i="1"/>
  <c r="O729" i="1" s="1"/>
  <c r="U728" i="1"/>
  <c r="T728" i="1"/>
  <c r="N728" i="1"/>
  <c r="M728" i="1"/>
  <c r="L728" i="1"/>
  <c r="O728" i="1" s="1"/>
  <c r="U726" i="1"/>
  <c r="T726" i="1"/>
  <c r="N726" i="1"/>
  <c r="M726" i="1"/>
  <c r="P726" i="1" s="1"/>
  <c r="L726" i="1"/>
  <c r="O726" i="1" s="1"/>
  <c r="U725" i="1"/>
  <c r="T725" i="1"/>
  <c r="N725" i="1"/>
  <c r="M725" i="1"/>
  <c r="P725" i="1" s="1"/>
  <c r="L725" i="1"/>
  <c r="S724" i="1"/>
  <c r="R724" i="1"/>
  <c r="U724" i="1" s="1"/>
  <c r="Q724" i="1"/>
  <c r="T724" i="1" s="1"/>
  <c r="S723" i="1"/>
  <c r="R723" i="1"/>
  <c r="Q723" i="1"/>
  <c r="S722" i="1"/>
  <c r="R722" i="1"/>
  <c r="Q722" i="1"/>
  <c r="I720" i="1"/>
  <c r="I719" i="1"/>
  <c r="K718" i="1"/>
  <c r="K717" i="1"/>
  <c r="S715" i="1"/>
  <c r="S713" i="1" s="1"/>
  <c r="R715" i="1"/>
  <c r="U715" i="1" s="1"/>
  <c r="Q715" i="1"/>
  <c r="T715" i="1" s="1"/>
  <c r="N715" i="1"/>
  <c r="M715" i="1"/>
  <c r="P715" i="1" s="1"/>
  <c r="L715" i="1"/>
  <c r="U714" i="1"/>
  <c r="T714" i="1"/>
  <c r="N714" i="1"/>
  <c r="M714" i="1"/>
  <c r="L714" i="1"/>
  <c r="O714" i="1" s="1"/>
  <c r="S712" i="1"/>
  <c r="S710" i="1" s="1"/>
  <c r="R712" i="1"/>
  <c r="Q712" i="1"/>
  <c r="Q710" i="1" s="1"/>
  <c r="T710" i="1" s="1"/>
  <c r="N712" i="1"/>
  <c r="M712" i="1"/>
  <c r="L712" i="1"/>
  <c r="U711" i="1"/>
  <c r="T711" i="1"/>
  <c r="N711" i="1"/>
  <c r="M711" i="1"/>
  <c r="P711" i="1" s="1"/>
  <c r="L711" i="1"/>
  <c r="O711" i="1" s="1"/>
  <c r="S708" i="1"/>
  <c r="R708" i="1"/>
  <c r="Q708" i="1"/>
  <c r="J705" i="1"/>
  <c r="I705" i="1"/>
  <c r="K703" i="1"/>
  <c r="S696" i="1"/>
  <c r="S694" i="1" s="1"/>
  <c r="R696" i="1"/>
  <c r="U696" i="1" s="1"/>
  <c r="Q696" i="1"/>
  <c r="Q694" i="1" s="1"/>
  <c r="T694" i="1" s="1"/>
  <c r="N696" i="1"/>
  <c r="M696" i="1"/>
  <c r="P696" i="1" s="1"/>
  <c r="L696" i="1"/>
  <c r="O696" i="1" s="1"/>
  <c r="U695" i="1"/>
  <c r="T695" i="1"/>
  <c r="N695" i="1"/>
  <c r="M695" i="1"/>
  <c r="L695" i="1"/>
  <c r="O695" i="1" s="1"/>
  <c r="U693" i="1"/>
  <c r="T693" i="1"/>
  <c r="N693" i="1"/>
  <c r="M693" i="1"/>
  <c r="P693" i="1" s="1"/>
  <c r="L693" i="1"/>
  <c r="O693" i="1" s="1"/>
  <c r="U692" i="1"/>
  <c r="T692" i="1"/>
  <c r="N692" i="1"/>
  <c r="M692" i="1"/>
  <c r="P692" i="1" s="1"/>
  <c r="L692" i="1"/>
  <c r="O692" i="1" s="1"/>
  <c r="S691" i="1"/>
  <c r="R691" i="1"/>
  <c r="U691" i="1" s="1"/>
  <c r="Q691" i="1"/>
  <c r="T691" i="1" s="1"/>
  <c r="S690" i="1"/>
  <c r="R690" i="1"/>
  <c r="Q690" i="1"/>
  <c r="S689" i="1"/>
  <c r="R689" i="1"/>
  <c r="Q689" i="1"/>
  <c r="J686" i="1"/>
  <c r="J685" i="1"/>
  <c r="J684" i="1"/>
  <c r="J683" i="1"/>
  <c r="J682" i="1"/>
  <c r="J681" i="1"/>
  <c r="I680" i="1"/>
  <c r="J679" i="1"/>
  <c r="I679" i="1"/>
  <c r="J678" i="1"/>
  <c r="J677" i="1"/>
  <c r="I677" i="1"/>
  <c r="J676" i="1"/>
  <c r="I676" i="1"/>
  <c r="J675" i="1"/>
  <c r="J674" i="1"/>
  <c r="I674" i="1"/>
  <c r="I673" i="1"/>
  <c r="I672" i="1"/>
  <c r="J671" i="1"/>
  <c r="I671" i="1"/>
  <c r="J670" i="1"/>
  <c r="J669" i="1"/>
  <c r="J668" i="1"/>
  <c r="J667" i="1"/>
  <c r="J666" i="1"/>
  <c r="J665" i="1"/>
  <c r="J664" i="1"/>
  <c r="J663" i="1"/>
  <c r="J661" i="1"/>
  <c r="J660" i="1"/>
  <c r="I659" i="1"/>
  <c r="J658" i="1"/>
  <c r="I658" i="1"/>
  <c r="J657" i="1"/>
  <c r="J656" i="1"/>
  <c r="J655" i="1"/>
  <c r="I655" i="1"/>
  <c r="J654" i="1"/>
  <c r="J653" i="1"/>
  <c r="I652" i="1"/>
  <c r="J651" i="1"/>
  <c r="I651" i="1"/>
  <c r="J650" i="1"/>
  <c r="I650" i="1"/>
  <c r="S648" i="1"/>
  <c r="S646" i="1" s="1"/>
  <c r="R648" i="1"/>
  <c r="U648" i="1" s="1"/>
  <c r="Q648" i="1"/>
  <c r="Q646" i="1" s="1"/>
  <c r="T646" i="1" s="1"/>
  <c r="N648" i="1"/>
  <c r="M648" i="1"/>
  <c r="L648" i="1"/>
  <c r="O648" i="1" s="1"/>
  <c r="U647" i="1"/>
  <c r="T647" i="1"/>
  <c r="N647" i="1"/>
  <c r="M647" i="1"/>
  <c r="P647" i="1" s="1"/>
  <c r="L647" i="1"/>
  <c r="O647" i="1" s="1"/>
  <c r="U645" i="1"/>
  <c r="T645" i="1"/>
  <c r="N645" i="1"/>
  <c r="M645" i="1"/>
  <c r="L645" i="1"/>
  <c r="O645" i="1" s="1"/>
  <c r="U644" i="1"/>
  <c r="T644" i="1"/>
  <c r="N644" i="1"/>
  <c r="M644" i="1"/>
  <c r="L644" i="1"/>
  <c r="O644" i="1" s="1"/>
  <c r="S643" i="1"/>
  <c r="R643" i="1"/>
  <c r="U643" i="1" s="1"/>
  <c r="Q643" i="1"/>
  <c r="T643" i="1" s="1"/>
  <c r="S642" i="1"/>
  <c r="R642" i="1"/>
  <c r="Q642" i="1"/>
  <c r="S641" i="1"/>
  <c r="R641" i="1"/>
  <c r="Q641" i="1"/>
  <c r="J638" i="1"/>
  <c r="J637" i="1"/>
  <c r="J636" i="1"/>
  <c r="J635" i="1"/>
  <c r="I633" i="1"/>
  <c r="K633" i="1" s="1"/>
  <c r="J632" i="1"/>
  <c r="J631" i="1"/>
  <c r="J629" i="1"/>
  <c r="J628" i="1"/>
  <c r="J613" i="1" s="1"/>
  <c r="J627" i="1"/>
  <c r="J626" i="1"/>
  <c r="I626" i="1"/>
  <c r="J625" i="1"/>
  <c r="I625" i="1"/>
  <c r="I624" i="1"/>
  <c r="S622" i="1"/>
  <c r="S620" i="1" s="1"/>
  <c r="R622" i="1"/>
  <c r="U622" i="1" s="1"/>
  <c r="Q622" i="1"/>
  <c r="Q620" i="1" s="1"/>
  <c r="T620" i="1" s="1"/>
  <c r="N622" i="1"/>
  <c r="M622" i="1"/>
  <c r="P622" i="1" s="1"/>
  <c r="L622" i="1"/>
  <c r="U621" i="1"/>
  <c r="T621" i="1"/>
  <c r="N621" i="1"/>
  <c r="M621" i="1"/>
  <c r="P621" i="1" s="1"/>
  <c r="L621" i="1"/>
  <c r="O621" i="1" s="1"/>
  <c r="U619" i="1"/>
  <c r="T619" i="1"/>
  <c r="N619" i="1"/>
  <c r="M619" i="1"/>
  <c r="P619" i="1" s="1"/>
  <c r="L619" i="1"/>
  <c r="U618" i="1"/>
  <c r="T618" i="1"/>
  <c r="N618" i="1"/>
  <c r="M618" i="1"/>
  <c r="L618" i="1"/>
  <c r="S617" i="1"/>
  <c r="R617" i="1"/>
  <c r="U617" i="1" s="1"/>
  <c r="Q617" i="1"/>
  <c r="T617" i="1" s="1"/>
  <c r="S616" i="1"/>
  <c r="R616" i="1"/>
  <c r="Q616" i="1"/>
  <c r="S615" i="1"/>
  <c r="R615" i="1"/>
  <c r="Q615" i="1"/>
  <c r="J608" i="1"/>
  <c r="K608" i="1" s="1"/>
  <c r="K607" i="1"/>
  <c r="S605" i="1"/>
  <c r="S603" i="1" s="1"/>
  <c r="R605" i="1"/>
  <c r="U605" i="1" s="1"/>
  <c r="Q605" i="1"/>
  <c r="T605" i="1" s="1"/>
  <c r="N605" i="1"/>
  <c r="M605" i="1"/>
  <c r="L605" i="1"/>
  <c r="O605" i="1" s="1"/>
  <c r="U604" i="1"/>
  <c r="T604" i="1"/>
  <c r="N604" i="1"/>
  <c r="M604" i="1"/>
  <c r="L604" i="1"/>
  <c r="S602" i="1"/>
  <c r="S600" i="1" s="1"/>
  <c r="R602" i="1"/>
  <c r="U602" i="1" s="1"/>
  <c r="Q602" i="1"/>
  <c r="T602" i="1" s="1"/>
  <c r="N602" i="1"/>
  <c r="M602" i="1"/>
  <c r="L602" i="1"/>
  <c r="U601" i="1"/>
  <c r="T601" i="1"/>
  <c r="N601" i="1"/>
  <c r="M601" i="1"/>
  <c r="L601" i="1"/>
  <c r="U599" i="1"/>
  <c r="T599" i="1"/>
  <c r="S598" i="1"/>
  <c r="S597" i="1" s="1"/>
  <c r="R598" i="1"/>
  <c r="Q598" i="1"/>
  <c r="I596" i="1"/>
  <c r="J595" i="1"/>
  <c r="I595" i="1"/>
  <c r="J585" i="1"/>
  <c r="J573" i="1" s="1"/>
  <c r="I585" i="1"/>
  <c r="I573" i="1" s="1"/>
  <c r="J584" i="1"/>
  <c r="I584" i="1"/>
  <c r="N582" i="1"/>
  <c r="M582" i="1"/>
  <c r="P582" i="1" s="1"/>
  <c r="L582" i="1"/>
  <c r="O582" i="1" s="1"/>
  <c r="N581" i="1"/>
  <c r="M581" i="1"/>
  <c r="P581" i="1" s="1"/>
  <c r="L581" i="1"/>
  <c r="O581" i="1" s="1"/>
  <c r="S580" i="1"/>
  <c r="R580" i="1"/>
  <c r="U580" i="1" s="1"/>
  <c r="Q580" i="1"/>
  <c r="T580" i="1" s="1"/>
  <c r="N579" i="1"/>
  <c r="M579" i="1"/>
  <c r="L579" i="1"/>
  <c r="N578" i="1"/>
  <c r="M578" i="1"/>
  <c r="L578" i="1"/>
  <c r="S577" i="1"/>
  <c r="R577" i="1"/>
  <c r="U577" i="1" s="1"/>
  <c r="Q577" i="1"/>
  <c r="T577" i="1" s="1"/>
  <c r="S576" i="1"/>
  <c r="R576" i="1"/>
  <c r="U576" i="1" s="1"/>
  <c r="Q576" i="1"/>
  <c r="T576" i="1" s="1"/>
  <c r="S575" i="1"/>
  <c r="R575" i="1"/>
  <c r="U575" i="1" s="1"/>
  <c r="Q575" i="1"/>
  <c r="I563" i="1"/>
  <c r="I552" i="1" s="1"/>
  <c r="N561" i="1"/>
  <c r="M561" i="1"/>
  <c r="L561" i="1"/>
  <c r="N560" i="1"/>
  <c r="M560" i="1"/>
  <c r="L560" i="1"/>
  <c r="S559" i="1"/>
  <c r="R559" i="1"/>
  <c r="U559" i="1" s="1"/>
  <c r="Q559" i="1"/>
  <c r="T559" i="1" s="1"/>
  <c r="N558" i="1"/>
  <c r="M558" i="1"/>
  <c r="L558" i="1"/>
  <c r="O558" i="1" s="1"/>
  <c r="N557" i="1"/>
  <c r="M557" i="1"/>
  <c r="L557" i="1"/>
  <c r="S556" i="1"/>
  <c r="R556" i="1"/>
  <c r="U556" i="1" s="1"/>
  <c r="Q556" i="1"/>
  <c r="T556" i="1" s="1"/>
  <c r="S555" i="1"/>
  <c r="R555" i="1"/>
  <c r="U555" i="1" s="1"/>
  <c r="Q555" i="1"/>
  <c r="S554" i="1"/>
  <c r="R554" i="1"/>
  <c r="Q554" i="1"/>
  <c r="T554" i="1" s="1"/>
  <c r="J542" i="1"/>
  <c r="J531" i="1" s="1"/>
  <c r="I542" i="1"/>
  <c r="N540" i="1"/>
  <c r="M540" i="1"/>
  <c r="L540" i="1"/>
  <c r="N539" i="1"/>
  <c r="M539" i="1"/>
  <c r="P539" i="1" s="1"/>
  <c r="L539" i="1"/>
  <c r="S538" i="1"/>
  <c r="R538" i="1"/>
  <c r="U538" i="1" s="1"/>
  <c r="Q538" i="1"/>
  <c r="T538" i="1" s="1"/>
  <c r="N537" i="1"/>
  <c r="M537" i="1"/>
  <c r="L537" i="1"/>
  <c r="O537" i="1" s="1"/>
  <c r="N536" i="1"/>
  <c r="M536" i="1"/>
  <c r="L536" i="1"/>
  <c r="S535" i="1"/>
  <c r="R535" i="1"/>
  <c r="U535" i="1" s="1"/>
  <c r="Q535" i="1"/>
  <c r="T535" i="1" s="1"/>
  <c r="S534" i="1"/>
  <c r="R534" i="1"/>
  <c r="U534" i="1" s="1"/>
  <c r="Q534" i="1"/>
  <c r="T534" i="1" s="1"/>
  <c r="S533" i="1"/>
  <c r="S532" i="1" s="1"/>
  <c r="R533" i="1"/>
  <c r="Q533" i="1"/>
  <c r="T533" i="1" s="1"/>
  <c r="J522" i="1"/>
  <c r="J510" i="1" s="1"/>
  <c r="I522" i="1"/>
  <c r="I510" i="1" s="1"/>
  <c r="K521" i="1"/>
  <c r="N519" i="1"/>
  <c r="M519" i="1"/>
  <c r="L519" i="1"/>
  <c r="N518" i="1"/>
  <c r="M518" i="1"/>
  <c r="P518" i="1" s="1"/>
  <c r="L518" i="1"/>
  <c r="O518" i="1" s="1"/>
  <c r="S517" i="1"/>
  <c r="R517" i="1"/>
  <c r="U517" i="1" s="1"/>
  <c r="Q517" i="1"/>
  <c r="T517" i="1" s="1"/>
  <c r="N516" i="1"/>
  <c r="M516" i="1"/>
  <c r="L516" i="1"/>
  <c r="N515" i="1"/>
  <c r="M515" i="1"/>
  <c r="P515" i="1" s="1"/>
  <c r="L515" i="1"/>
  <c r="S514" i="1"/>
  <c r="R514" i="1"/>
  <c r="U514" i="1" s="1"/>
  <c r="Q514" i="1"/>
  <c r="T514" i="1" s="1"/>
  <c r="S513" i="1"/>
  <c r="R513" i="1"/>
  <c r="U513" i="1" s="1"/>
  <c r="Q513" i="1"/>
  <c r="T513" i="1" s="1"/>
  <c r="S512" i="1"/>
  <c r="R512" i="1"/>
  <c r="Q512" i="1"/>
  <c r="T512" i="1" s="1"/>
  <c r="J507" i="1"/>
  <c r="I507" i="1"/>
  <c r="K506" i="1"/>
  <c r="J505" i="1"/>
  <c r="I505" i="1"/>
  <c r="J504" i="1"/>
  <c r="I504" i="1"/>
  <c r="J503" i="1"/>
  <c r="I503" i="1"/>
  <c r="J502" i="1"/>
  <c r="I502" i="1"/>
  <c r="J501" i="1"/>
  <c r="J490" i="1" s="1"/>
  <c r="I501" i="1"/>
  <c r="S499" i="1"/>
  <c r="S497" i="1" s="1"/>
  <c r="R499" i="1"/>
  <c r="U499" i="1" s="1"/>
  <c r="Q499" i="1"/>
  <c r="N499" i="1"/>
  <c r="M499" i="1"/>
  <c r="P499" i="1" s="1"/>
  <c r="L499" i="1"/>
  <c r="O499" i="1" s="1"/>
  <c r="U498" i="1"/>
  <c r="T498" i="1"/>
  <c r="N498" i="1"/>
  <c r="M498" i="1"/>
  <c r="L498" i="1"/>
  <c r="O498" i="1" s="1"/>
  <c r="U496" i="1"/>
  <c r="T496" i="1"/>
  <c r="N496" i="1"/>
  <c r="M496" i="1"/>
  <c r="L496" i="1"/>
  <c r="U495" i="1"/>
  <c r="T495" i="1"/>
  <c r="N495" i="1"/>
  <c r="M495" i="1"/>
  <c r="L495" i="1"/>
  <c r="S494" i="1"/>
  <c r="R494" i="1"/>
  <c r="U494" i="1" s="1"/>
  <c r="Q494" i="1"/>
  <c r="T494" i="1" s="1"/>
  <c r="S493" i="1"/>
  <c r="R493" i="1"/>
  <c r="Q493" i="1"/>
  <c r="S492" i="1"/>
  <c r="R492" i="1"/>
  <c r="Q492" i="1"/>
  <c r="J489" i="1"/>
  <c r="J488" i="1"/>
  <c r="J487" i="1"/>
  <c r="J486" i="1"/>
  <c r="J485" i="1"/>
  <c r="J484" i="1"/>
  <c r="I483" i="1"/>
  <c r="I482" i="1"/>
  <c r="K475" i="1"/>
  <c r="J475" i="1"/>
  <c r="J474" i="1"/>
  <c r="K474" i="1" s="1"/>
  <c r="J473" i="1"/>
  <c r="K473" i="1" s="1"/>
  <c r="J472" i="1"/>
  <c r="J471" i="1"/>
  <c r="J470" i="1"/>
  <c r="J469" i="1"/>
  <c r="J468" i="1"/>
  <c r="J467" i="1"/>
  <c r="J464" i="1"/>
  <c r="J463" i="1"/>
  <c r="J462" i="1"/>
  <c r="J461" i="1"/>
  <c r="J460" i="1"/>
  <c r="J459" i="1"/>
  <c r="I456" i="1"/>
  <c r="I455" i="1"/>
  <c r="J453" i="1"/>
  <c r="J452" i="1"/>
  <c r="J451" i="1"/>
  <c r="J450" i="1"/>
  <c r="J449" i="1"/>
  <c r="J448" i="1"/>
  <c r="J447" i="1"/>
  <c r="J446" i="1"/>
  <c r="J443" i="1"/>
  <c r="J442" i="1"/>
  <c r="J441" i="1"/>
  <c r="J440" i="1"/>
  <c r="I439" i="1"/>
  <c r="I438" i="1"/>
  <c r="I421" i="1" s="1"/>
  <c r="I410" i="1" s="1"/>
  <c r="J437" i="1"/>
  <c r="J436" i="1"/>
  <c r="J435" i="1"/>
  <c r="J434" i="1"/>
  <c r="J433" i="1"/>
  <c r="J432" i="1"/>
  <c r="I431" i="1"/>
  <c r="I430" i="1"/>
  <c r="J429" i="1"/>
  <c r="J428" i="1"/>
  <c r="J427" i="1"/>
  <c r="J426" i="1"/>
  <c r="J425" i="1"/>
  <c r="J424" i="1"/>
  <c r="I423" i="1"/>
  <c r="I422" i="1"/>
  <c r="S419" i="1"/>
  <c r="S417" i="1" s="1"/>
  <c r="R419" i="1"/>
  <c r="U419" i="1" s="1"/>
  <c r="Q419" i="1"/>
  <c r="N419" i="1"/>
  <c r="M419" i="1"/>
  <c r="P419" i="1" s="1"/>
  <c r="L419" i="1"/>
  <c r="O419" i="1" s="1"/>
  <c r="U418" i="1"/>
  <c r="T418" i="1"/>
  <c r="N418" i="1"/>
  <c r="M418" i="1"/>
  <c r="L418" i="1"/>
  <c r="U416" i="1"/>
  <c r="T416" i="1"/>
  <c r="N416" i="1"/>
  <c r="M416" i="1"/>
  <c r="L416" i="1"/>
  <c r="U415" i="1"/>
  <c r="T415" i="1"/>
  <c r="N415" i="1"/>
  <c r="M415" i="1"/>
  <c r="L415" i="1"/>
  <c r="S414" i="1"/>
  <c r="R414" i="1"/>
  <c r="U414" i="1" s="1"/>
  <c r="Q414" i="1"/>
  <c r="T414" i="1" s="1"/>
  <c r="S413" i="1"/>
  <c r="R413" i="1"/>
  <c r="Q413" i="1"/>
  <c r="S412" i="1"/>
  <c r="R412" i="1"/>
  <c r="Q412" i="1"/>
  <c r="K406" i="1"/>
  <c r="K405" i="1"/>
  <c r="K404" i="1"/>
  <c r="K403" i="1"/>
  <c r="K402" i="1"/>
  <c r="K401" i="1"/>
  <c r="K400" i="1"/>
  <c r="S398" i="1"/>
  <c r="S396" i="1" s="1"/>
  <c r="R398" i="1"/>
  <c r="U398" i="1" s="1"/>
  <c r="Q398" i="1"/>
  <c r="Q396" i="1" s="1"/>
  <c r="T396" i="1" s="1"/>
  <c r="N398" i="1"/>
  <c r="M398" i="1"/>
  <c r="P398" i="1" s="1"/>
  <c r="L398" i="1"/>
  <c r="U397" i="1"/>
  <c r="T397" i="1"/>
  <c r="N397" i="1"/>
  <c r="M397" i="1"/>
  <c r="L397" i="1"/>
  <c r="S395" i="1"/>
  <c r="S393" i="1" s="1"/>
  <c r="R395" i="1"/>
  <c r="U395" i="1" s="1"/>
  <c r="Q395" i="1"/>
  <c r="N395" i="1"/>
  <c r="M395" i="1"/>
  <c r="P395" i="1" s="1"/>
  <c r="L395" i="1"/>
  <c r="O395" i="1" s="1"/>
  <c r="U394" i="1"/>
  <c r="T394" i="1"/>
  <c r="N394" i="1"/>
  <c r="M394" i="1"/>
  <c r="L394" i="1"/>
  <c r="S391" i="1"/>
  <c r="R391" i="1"/>
  <c r="Q391" i="1"/>
  <c r="J389" i="1"/>
  <c r="I389" i="1"/>
  <c r="J386" i="1"/>
  <c r="I386" i="1"/>
  <c r="J385" i="1"/>
  <c r="I385" i="1"/>
  <c r="K385" i="1" s="1"/>
  <c r="J384" i="1"/>
  <c r="I384" i="1"/>
  <c r="K383" i="1"/>
  <c r="J383" i="1"/>
  <c r="S381" i="1"/>
  <c r="S379" i="1" s="1"/>
  <c r="R381" i="1"/>
  <c r="Q381" i="1"/>
  <c r="T381" i="1" s="1"/>
  <c r="N381" i="1"/>
  <c r="M381" i="1"/>
  <c r="L381" i="1"/>
  <c r="U380" i="1"/>
  <c r="T380" i="1"/>
  <c r="N380" i="1"/>
  <c r="M380" i="1"/>
  <c r="L380" i="1"/>
  <c r="O380" i="1" s="1"/>
  <c r="U378" i="1"/>
  <c r="T378" i="1"/>
  <c r="N378" i="1"/>
  <c r="M378" i="1"/>
  <c r="L378" i="1"/>
  <c r="U377" i="1"/>
  <c r="T377" i="1"/>
  <c r="N377" i="1"/>
  <c r="M377" i="1"/>
  <c r="L377" i="1"/>
  <c r="S376" i="1"/>
  <c r="R376" i="1"/>
  <c r="U376" i="1" s="1"/>
  <c r="Q376" i="1"/>
  <c r="T376" i="1" s="1"/>
  <c r="S375" i="1"/>
  <c r="R375" i="1"/>
  <c r="Q375" i="1"/>
  <c r="S374" i="1"/>
  <c r="R374" i="1"/>
  <c r="Q374" i="1"/>
  <c r="K370" i="1"/>
  <c r="J365" i="1"/>
  <c r="N364" i="1"/>
  <c r="M364" i="1"/>
  <c r="P364" i="1" s="1"/>
  <c r="L364" i="1"/>
  <c r="O364" i="1" s="1"/>
  <c r="N363" i="1"/>
  <c r="M363" i="1"/>
  <c r="P363" i="1" s="1"/>
  <c r="L363" i="1"/>
  <c r="S362" i="1"/>
  <c r="R362" i="1"/>
  <c r="U362" i="1" s="1"/>
  <c r="Q362" i="1"/>
  <c r="T362" i="1" s="1"/>
  <c r="N361" i="1"/>
  <c r="M361" i="1"/>
  <c r="L361" i="1"/>
  <c r="N360" i="1"/>
  <c r="M360" i="1"/>
  <c r="L360" i="1"/>
  <c r="S359" i="1"/>
  <c r="R359" i="1"/>
  <c r="U359" i="1" s="1"/>
  <c r="Q359" i="1"/>
  <c r="T359" i="1" s="1"/>
  <c r="S358" i="1"/>
  <c r="R358" i="1"/>
  <c r="U358" i="1" s="1"/>
  <c r="Q358" i="1"/>
  <c r="S357" i="1"/>
  <c r="R357" i="1"/>
  <c r="U357" i="1" s="1"/>
  <c r="Q357" i="1"/>
  <c r="T357" i="1" s="1"/>
  <c r="J354" i="1"/>
  <c r="J353" i="1"/>
  <c r="J352" i="1"/>
  <c r="D350" i="1"/>
  <c r="J349" i="1"/>
  <c r="J348" i="1"/>
  <c r="J347" i="1"/>
  <c r="J346" i="1"/>
  <c r="I346" i="1"/>
  <c r="J344" i="1"/>
  <c r="I344" i="1"/>
  <c r="K344" i="1" s="1"/>
  <c r="N341" i="1"/>
  <c r="M341" i="1"/>
  <c r="L341" i="1"/>
  <c r="N340" i="1"/>
  <c r="M340" i="1"/>
  <c r="L340" i="1"/>
  <c r="S339" i="1"/>
  <c r="R339" i="1"/>
  <c r="U339" i="1" s="1"/>
  <c r="Q339" i="1"/>
  <c r="T339" i="1" s="1"/>
  <c r="N338" i="1"/>
  <c r="M338" i="1"/>
  <c r="L338" i="1"/>
  <c r="N337" i="1"/>
  <c r="M337" i="1"/>
  <c r="L337" i="1"/>
  <c r="S336" i="1"/>
  <c r="R336" i="1"/>
  <c r="U336" i="1" s="1"/>
  <c r="Q336" i="1"/>
  <c r="T336" i="1" s="1"/>
  <c r="S335" i="1"/>
  <c r="R335" i="1"/>
  <c r="Q335" i="1"/>
  <c r="T335" i="1" s="1"/>
  <c r="S334" i="1"/>
  <c r="R334" i="1"/>
  <c r="U334" i="1" s="1"/>
  <c r="Q334" i="1"/>
  <c r="T334" i="1" s="1"/>
  <c r="I332" i="1"/>
  <c r="J330" i="1"/>
  <c r="I330" i="1"/>
  <c r="I319" i="1" s="1"/>
  <c r="N328" i="1"/>
  <c r="M328" i="1"/>
  <c r="L328" i="1"/>
  <c r="N327" i="1"/>
  <c r="M327" i="1"/>
  <c r="P327" i="1" s="1"/>
  <c r="L327" i="1"/>
  <c r="S326" i="1"/>
  <c r="R326" i="1"/>
  <c r="U326" i="1" s="1"/>
  <c r="Q326" i="1"/>
  <c r="T326" i="1" s="1"/>
  <c r="N325" i="1"/>
  <c r="M325" i="1"/>
  <c r="L325" i="1"/>
  <c r="N324" i="1"/>
  <c r="M324" i="1"/>
  <c r="L324" i="1"/>
  <c r="S323" i="1"/>
  <c r="R323" i="1"/>
  <c r="U323" i="1" s="1"/>
  <c r="Q323" i="1"/>
  <c r="T323" i="1" s="1"/>
  <c r="S322" i="1"/>
  <c r="R322" i="1"/>
  <c r="U322" i="1" s="1"/>
  <c r="Q322" i="1"/>
  <c r="T322" i="1" s="1"/>
  <c r="S321" i="1"/>
  <c r="R321" i="1"/>
  <c r="U321" i="1" s="1"/>
  <c r="Q321" i="1"/>
  <c r="T321" i="1" s="1"/>
  <c r="J314" i="1"/>
  <c r="J302" i="1" s="1"/>
  <c r="I314" i="1"/>
  <c r="S311" i="1"/>
  <c r="S309" i="1" s="1"/>
  <c r="R311" i="1"/>
  <c r="U311" i="1" s="1"/>
  <c r="Q311" i="1"/>
  <c r="T311" i="1" s="1"/>
  <c r="N311" i="1"/>
  <c r="M311" i="1"/>
  <c r="P311" i="1" s="1"/>
  <c r="L311" i="1"/>
  <c r="O311" i="1" s="1"/>
  <c r="U310" i="1"/>
  <c r="T310" i="1"/>
  <c r="N310" i="1"/>
  <c r="M310" i="1"/>
  <c r="P310" i="1" s="1"/>
  <c r="L310" i="1"/>
  <c r="O310" i="1" s="1"/>
  <c r="U308" i="1"/>
  <c r="T308" i="1"/>
  <c r="N308" i="1"/>
  <c r="M308" i="1"/>
  <c r="L308" i="1"/>
  <c r="U307" i="1"/>
  <c r="T307" i="1"/>
  <c r="N307" i="1"/>
  <c r="M307" i="1"/>
  <c r="L307" i="1"/>
  <c r="S306" i="1"/>
  <c r="R306" i="1"/>
  <c r="U306" i="1" s="1"/>
  <c r="Q306" i="1"/>
  <c r="T306" i="1" s="1"/>
  <c r="S305" i="1"/>
  <c r="R305" i="1"/>
  <c r="Q305" i="1"/>
  <c r="S304" i="1"/>
  <c r="R304" i="1"/>
  <c r="Q304" i="1"/>
  <c r="J299" i="1"/>
  <c r="I299" i="1"/>
  <c r="J298" i="1"/>
  <c r="I298" i="1"/>
  <c r="J296" i="1"/>
  <c r="I296" i="1"/>
  <c r="J295" i="1"/>
  <c r="I295" i="1"/>
  <c r="J293" i="1"/>
  <c r="I293" i="1"/>
  <c r="I280" i="1" s="1"/>
  <c r="J292" i="1"/>
  <c r="J281" i="1" s="1"/>
  <c r="I292" i="1"/>
  <c r="N290" i="1"/>
  <c r="M290" i="1"/>
  <c r="P290" i="1" s="1"/>
  <c r="L290" i="1"/>
  <c r="N289" i="1"/>
  <c r="M289" i="1"/>
  <c r="L289" i="1"/>
  <c r="O289" i="1" s="1"/>
  <c r="S288" i="1"/>
  <c r="R288" i="1"/>
  <c r="U288" i="1" s="1"/>
  <c r="Q288" i="1"/>
  <c r="T288" i="1" s="1"/>
  <c r="N287" i="1"/>
  <c r="M287" i="1"/>
  <c r="L287" i="1"/>
  <c r="N286" i="1"/>
  <c r="M286" i="1"/>
  <c r="L286" i="1"/>
  <c r="S285" i="1"/>
  <c r="R285" i="1"/>
  <c r="U285" i="1" s="1"/>
  <c r="Q285" i="1"/>
  <c r="T285" i="1" s="1"/>
  <c r="S284" i="1"/>
  <c r="R284" i="1"/>
  <c r="U284" i="1" s="1"/>
  <c r="Q284" i="1"/>
  <c r="T284" i="1" s="1"/>
  <c r="S283" i="1"/>
  <c r="R283" i="1"/>
  <c r="Q283" i="1"/>
  <c r="J276" i="1"/>
  <c r="I276" i="1"/>
  <c r="S274" i="1"/>
  <c r="S272" i="1" s="1"/>
  <c r="R274" i="1"/>
  <c r="U274" i="1" s="1"/>
  <c r="Q274" i="1"/>
  <c r="Q272" i="1" s="1"/>
  <c r="T272" i="1" s="1"/>
  <c r="N274" i="1"/>
  <c r="M274" i="1"/>
  <c r="L274" i="1"/>
  <c r="U273" i="1"/>
  <c r="T273" i="1"/>
  <c r="N273" i="1"/>
  <c r="M273" i="1"/>
  <c r="P273" i="1" s="1"/>
  <c r="L273" i="1"/>
  <c r="O273" i="1" s="1"/>
  <c r="U271" i="1"/>
  <c r="T271" i="1"/>
  <c r="N271" i="1"/>
  <c r="M271" i="1"/>
  <c r="L271" i="1"/>
  <c r="S270" i="1"/>
  <c r="R270" i="1"/>
  <c r="R267" i="1" s="1"/>
  <c r="Q270" i="1"/>
  <c r="T270" i="1" s="1"/>
  <c r="N270" i="1"/>
  <c r="M270" i="1"/>
  <c r="L270" i="1"/>
  <c r="S268" i="1"/>
  <c r="R268" i="1"/>
  <c r="Q268" i="1"/>
  <c r="J265" i="1"/>
  <c r="I265" i="1"/>
  <c r="K241" i="1"/>
  <c r="J241" i="1"/>
  <c r="K240" i="1"/>
  <c r="J240" i="1"/>
  <c r="J238" i="1"/>
  <c r="J231" i="1" s="1"/>
  <c r="J185" i="1" s="1"/>
  <c r="I238" i="1"/>
  <c r="I231" i="1" s="1"/>
  <c r="S236" i="1"/>
  <c r="R236" i="1"/>
  <c r="Q236" i="1"/>
  <c r="N236" i="1"/>
  <c r="M236" i="1"/>
  <c r="L236" i="1"/>
  <c r="S235" i="1"/>
  <c r="R235" i="1"/>
  <c r="Q235" i="1"/>
  <c r="N235" i="1"/>
  <c r="M235" i="1"/>
  <c r="L235" i="1"/>
  <c r="S234" i="1"/>
  <c r="R234" i="1"/>
  <c r="Q234" i="1"/>
  <c r="N234" i="1"/>
  <c r="M234" i="1"/>
  <c r="L234" i="1"/>
  <c r="S233" i="1"/>
  <c r="R233" i="1"/>
  <c r="Q233" i="1"/>
  <c r="N233" i="1"/>
  <c r="M233" i="1"/>
  <c r="L233" i="1"/>
  <c r="J230" i="1"/>
  <c r="I230" i="1"/>
  <c r="K230" i="1" s="1"/>
  <c r="J229" i="1"/>
  <c r="J221" i="1" s="1"/>
  <c r="I229" i="1"/>
  <c r="I221" i="1" s="1"/>
  <c r="J228" i="1"/>
  <c r="I228" i="1"/>
  <c r="S224" i="1"/>
  <c r="R224" i="1"/>
  <c r="Q224" i="1"/>
  <c r="N224" i="1"/>
  <c r="M224" i="1"/>
  <c r="L224" i="1"/>
  <c r="S223" i="1"/>
  <c r="R223" i="1"/>
  <c r="Q223" i="1"/>
  <c r="N223" i="1"/>
  <c r="M223" i="1"/>
  <c r="L223" i="1"/>
  <c r="J220" i="1"/>
  <c r="J213" i="1" s="1"/>
  <c r="I220" i="1"/>
  <c r="J219" i="1"/>
  <c r="I219" i="1"/>
  <c r="S217" i="1"/>
  <c r="R217" i="1"/>
  <c r="Q217" i="1"/>
  <c r="N217" i="1"/>
  <c r="M217" i="1"/>
  <c r="L217" i="1"/>
  <c r="S216" i="1"/>
  <c r="R216" i="1"/>
  <c r="Q216" i="1"/>
  <c r="N216" i="1"/>
  <c r="M216" i="1"/>
  <c r="L216" i="1"/>
  <c r="S215" i="1"/>
  <c r="R215" i="1"/>
  <c r="R214" i="1" s="1"/>
  <c r="Q215" i="1"/>
  <c r="N215" i="1"/>
  <c r="M215" i="1"/>
  <c r="M214" i="1" s="1"/>
  <c r="L215" i="1"/>
  <c r="K212" i="1"/>
  <c r="J212" i="1"/>
  <c r="K211" i="1"/>
  <c r="J211" i="1"/>
  <c r="J209" i="1"/>
  <c r="I209" i="1"/>
  <c r="I202" i="1" s="1"/>
  <c r="S207" i="1"/>
  <c r="R207" i="1"/>
  <c r="Q207" i="1"/>
  <c r="N207" i="1"/>
  <c r="M207" i="1"/>
  <c r="L207" i="1"/>
  <c r="S206" i="1"/>
  <c r="R206" i="1"/>
  <c r="Q206" i="1"/>
  <c r="N206" i="1"/>
  <c r="M206" i="1"/>
  <c r="L206" i="1"/>
  <c r="S204" i="1"/>
  <c r="R204" i="1"/>
  <c r="Q204" i="1"/>
  <c r="Q203" i="1" s="1"/>
  <c r="N204" i="1"/>
  <c r="M204" i="1"/>
  <c r="M203" i="1" s="1"/>
  <c r="L204" i="1"/>
  <c r="J201" i="1"/>
  <c r="J200" i="1"/>
  <c r="J198" i="1"/>
  <c r="J195" i="1" s="1"/>
  <c r="I198" i="1"/>
  <c r="I195" i="1" s="1"/>
  <c r="S196" i="1"/>
  <c r="R196" i="1"/>
  <c r="Q196" i="1"/>
  <c r="T196" i="1" s="1"/>
  <c r="N196" i="1"/>
  <c r="M196" i="1"/>
  <c r="L196" i="1"/>
  <c r="U194" i="1"/>
  <c r="T194" i="1"/>
  <c r="N194" i="1"/>
  <c r="M194" i="1"/>
  <c r="L194" i="1"/>
  <c r="U193" i="1"/>
  <c r="T193" i="1"/>
  <c r="N193" i="1"/>
  <c r="M193" i="1"/>
  <c r="P193" i="1" s="1"/>
  <c r="L193" i="1"/>
  <c r="O193" i="1" s="1"/>
  <c r="S192" i="1"/>
  <c r="R192" i="1"/>
  <c r="U192" i="1" s="1"/>
  <c r="Q192" i="1"/>
  <c r="T192" i="1" s="1"/>
  <c r="U191" i="1"/>
  <c r="T191" i="1"/>
  <c r="N191" i="1"/>
  <c r="M191" i="1"/>
  <c r="L191" i="1"/>
  <c r="U190" i="1"/>
  <c r="T190" i="1"/>
  <c r="N190" i="1"/>
  <c r="M190" i="1"/>
  <c r="L190" i="1"/>
  <c r="S189" i="1"/>
  <c r="R189" i="1"/>
  <c r="U189" i="1" s="1"/>
  <c r="Q189" i="1"/>
  <c r="T189" i="1" s="1"/>
  <c r="S188" i="1"/>
  <c r="R188" i="1"/>
  <c r="Q188" i="1"/>
  <c r="S187" i="1"/>
  <c r="R187" i="1"/>
  <c r="U187" i="1" s="1"/>
  <c r="Q187" i="1"/>
  <c r="S186" i="1"/>
  <c r="R186" i="1"/>
  <c r="K184" i="1"/>
  <c r="J183" i="1"/>
  <c r="J172" i="1" s="1"/>
  <c r="I183" i="1"/>
  <c r="I172" i="1" s="1"/>
  <c r="S181" i="1"/>
  <c r="S179" i="1" s="1"/>
  <c r="R181" i="1"/>
  <c r="Q181" i="1"/>
  <c r="T181" i="1" s="1"/>
  <c r="N181" i="1"/>
  <c r="M181" i="1"/>
  <c r="P181" i="1" s="1"/>
  <c r="L181" i="1"/>
  <c r="U180" i="1"/>
  <c r="T180" i="1"/>
  <c r="N180" i="1"/>
  <c r="M180" i="1"/>
  <c r="L180" i="1"/>
  <c r="U178" i="1"/>
  <c r="T178" i="1"/>
  <c r="N178" i="1"/>
  <c r="M178" i="1"/>
  <c r="L178" i="1"/>
  <c r="U177" i="1"/>
  <c r="T177" i="1"/>
  <c r="N177" i="1"/>
  <c r="M177" i="1"/>
  <c r="L177" i="1"/>
  <c r="S176" i="1"/>
  <c r="R176" i="1"/>
  <c r="U176" i="1" s="1"/>
  <c r="Q176" i="1"/>
  <c r="T176" i="1" s="1"/>
  <c r="S175" i="1"/>
  <c r="R175" i="1"/>
  <c r="Q175" i="1"/>
  <c r="S174" i="1"/>
  <c r="R174" i="1"/>
  <c r="Q174" i="1"/>
  <c r="K169" i="1"/>
  <c r="J167" i="1"/>
  <c r="I167" i="1"/>
  <c r="I168" i="1" s="1"/>
  <c r="U165" i="1"/>
  <c r="T165" i="1"/>
  <c r="N165" i="1"/>
  <c r="M165" i="1"/>
  <c r="P165" i="1" s="1"/>
  <c r="L165" i="1"/>
  <c r="O165" i="1" s="1"/>
  <c r="U164" i="1"/>
  <c r="T164" i="1"/>
  <c r="N164" i="1"/>
  <c r="M164" i="1"/>
  <c r="P164" i="1" s="1"/>
  <c r="L164" i="1"/>
  <c r="U163" i="1"/>
  <c r="S163" i="1"/>
  <c r="R163" i="1"/>
  <c r="Q163" i="1"/>
  <c r="T163" i="1" s="1"/>
  <c r="S162" i="1"/>
  <c r="R162" i="1"/>
  <c r="Q162" i="1"/>
  <c r="N162" i="1"/>
  <c r="M162" i="1"/>
  <c r="L162" i="1"/>
  <c r="U161" i="1"/>
  <c r="T161" i="1"/>
  <c r="N161" i="1"/>
  <c r="M161" i="1"/>
  <c r="L161" i="1"/>
  <c r="S158" i="1"/>
  <c r="R158" i="1"/>
  <c r="Q158" i="1"/>
  <c r="J156" i="1"/>
  <c r="J154" i="1"/>
  <c r="J136" i="1" s="1"/>
  <c r="I154" i="1"/>
  <c r="J153" i="1"/>
  <c r="J138" i="1" s="1"/>
  <c r="I153" i="1"/>
  <c r="I138" i="1" s="1"/>
  <c r="J152" i="1"/>
  <c r="J137" i="1" s="1"/>
  <c r="I152" i="1"/>
  <c r="I137" i="1" s="1"/>
  <c r="J151" i="1"/>
  <c r="I151" i="1"/>
  <c r="J150" i="1"/>
  <c r="I150" i="1"/>
  <c r="J149" i="1"/>
  <c r="S147" i="1"/>
  <c r="R147" i="1"/>
  <c r="U147" i="1" s="1"/>
  <c r="Q147" i="1"/>
  <c r="T147" i="1" s="1"/>
  <c r="N147" i="1"/>
  <c r="M147" i="1"/>
  <c r="P147" i="1" s="1"/>
  <c r="L147" i="1"/>
  <c r="O147" i="1" s="1"/>
  <c r="S146" i="1"/>
  <c r="R146" i="1"/>
  <c r="Q146" i="1"/>
  <c r="T146" i="1" s="1"/>
  <c r="N146" i="1"/>
  <c r="M146" i="1"/>
  <c r="L146" i="1"/>
  <c r="O146" i="1" s="1"/>
  <c r="U144" i="1"/>
  <c r="T144" i="1"/>
  <c r="N144" i="1"/>
  <c r="M144" i="1"/>
  <c r="L144" i="1"/>
  <c r="U143" i="1"/>
  <c r="T143" i="1"/>
  <c r="N143" i="1"/>
  <c r="M143" i="1"/>
  <c r="L143" i="1"/>
  <c r="S142" i="1"/>
  <c r="R142" i="1"/>
  <c r="U142" i="1" s="1"/>
  <c r="Q142" i="1"/>
  <c r="T142" i="1" s="1"/>
  <c r="S141" i="1"/>
  <c r="R141" i="1"/>
  <c r="Q141" i="1"/>
  <c r="S140" i="1"/>
  <c r="R140" i="1"/>
  <c r="Q140" i="1"/>
  <c r="K131" i="1"/>
  <c r="J130" i="1"/>
  <c r="I130" i="1"/>
  <c r="J129" i="1"/>
  <c r="I129" i="1"/>
  <c r="J128" i="1"/>
  <c r="I128" i="1"/>
  <c r="J127" i="1"/>
  <c r="J116" i="1" s="1"/>
  <c r="I127" i="1"/>
  <c r="I116" i="1" s="1"/>
  <c r="U125" i="1"/>
  <c r="T125" i="1"/>
  <c r="N125" i="1"/>
  <c r="M125" i="1"/>
  <c r="L125" i="1"/>
  <c r="U124" i="1"/>
  <c r="T124" i="1"/>
  <c r="N124" i="1"/>
  <c r="M124" i="1"/>
  <c r="L124" i="1"/>
  <c r="S123" i="1"/>
  <c r="R123" i="1"/>
  <c r="U123" i="1" s="1"/>
  <c r="Q123" i="1"/>
  <c r="T123" i="1" s="1"/>
  <c r="U122" i="1"/>
  <c r="T122" i="1"/>
  <c r="N122" i="1"/>
  <c r="M122" i="1"/>
  <c r="L122" i="1"/>
  <c r="U121" i="1"/>
  <c r="T121" i="1"/>
  <c r="N121" i="1"/>
  <c r="M121" i="1"/>
  <c r="L121" i="1"/>
  <c r="S120" i="1"/>
  <c r="R120" i="1"/>
  <c r="U120" i="1" s="1"/>
  <c r="Q120" i="1"/>
  <c r="T120" i="1" s="1"/>
  <c r="S119" i="1"/>
  <c r="R119" i="1"/>
  <c r="Q119" i="1"/>
  <c r="S118" i="1"/>
  <c r="R118" i="1"/>
  <c r="Q118" i="1"/>
  <c r="J114" i="1"/>
  <c r="I114" i="1"/>
  <c r="J113" i="1"/>
  <c r="I113" i="1"/>
  <c r="J109" i="1"/>
  <c r="J93" i="1" s="1"/>
  <c r="I109" i="1"/>
  <c r="I93" i="1" s="1"/>
  <c r="J108" i="1"/>
  <c r="J92" i="1" s="1"/>
  <c r="I108" i="1"/>
  <c r="I92" i="1" s="1"/>
  <c r="S102" i="1"/>
  <c r="S100" i="1" s="1"/>
  <c r="R102" i="1"/>
  <c r="U102" i="1" s="1"/>
  <c r="Q102" i="1"/>
  <c r="T102" i="1" s="1"/>
  <c r="N102" i="1"/>
  <c r="M102" i="1"/>
  <c r="P102" i="1" s="1"/>
  <c r="L102" i="1"/>
  <c r="U101" i="1"/>
  <c r="T101" i="1"/>
  <c r="N101" i="1"/>
  <c r="M101" i="1"/>
  <c r="P101" i="1" s="1"/>
  <c r="L101" i="1"/>
  <c r="U99" i="1"/>
  <c r="T99" i="1"/>
  <c r="N99" i="1"/>
  <c r="M99" i="1"/>
  <c r="L99" i="1"/>
  <c r="U98" i="1"/>
  <c r="T98" i="1"/>
  <c r="N98" i="1"/>
  <c r="M98" i="1"/>
  <c r="L98" i="1"/>
  <c r="S97" i="1"/>
  <c r="R97" i="1"/>
  <c r="U97" i="1" s="1"/>
  <c r="Q97" i="1"/>
  <c r="T97" i="1" s="1"/>
  <c r="S96" i="1"/>
  <c r="R96" i="1"/>
  <c r="Q96" i="1"/>
  <c r="S95" i="1"/>
  <c r="R95" i="1"/>
  <c r="Q95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S80" i="1"/>
  <c r="R80" i="1"/>
  <c r="U80" i="1" s="1"/>
  <c r="Q80" i="1"/>
  <c r="T80" i="1" s="1"/>
  <c r="N80" i="1"/>
  <c r="M80" i="1"/>
  <c r="L80" i="1"/>
  <c r="S79" i="1"/>
  <c r="R79" i="1"/>
  <c r="U79" i="1" s="1"/>
  <c r="Q79" i="1"/>
  <c r="N79" i="1"/>
  <c r="M79" i="1"/>
  <c r="P79" i="1" s="1"/>
  <c r="L79" i="1"/>
  <c r="O79" i="1" s="1"/>
  <c r="S77" i="1"/>
  <c r="S75" i="1" s="1"/>
  <c r="R77" i="1"/>
  <c r="U77" i="1" s="1"/>
  <c r="Q77" i="1"/>
  <c r="N77" i="1"/>
  <c r="M77" i="1"/>
  <c r="L77" i="1"/>
  <c r="U76" i="1"/>
  <c r="T76" i="1"/>
  <c r="N76" i="1"/>
  <c r="M76" i="1"/>
  <c r="L76" i="1"/>
  <c r="S74" i="1"/>
  <c r="R74" i="1"/>
  <c r="Q74" i="1"/>
  <c r="S73" i="1"/>
  <c r="R73" i="1"/>
  <c r="Q73" i="1"/>
  <c r="S67" i="1"/>
  <c r="R67" i="1"/>
  <c r="U67" i="1" s="1"/>
  <c r="Q67" i="1"/>
  <c r="N67" i="1"/>
  <c r="M67" i="1"/>
  <c r="L67" i="1"/>
  <c r="S66" i="1"/>
  <c r="R66" i="1"/>
  <c r="Q66" i="1"/>
  <c r="T66" i="1" s="1"/>
  <c r="N66" i="1"/>
  <c r="M66" i="1"/>
  <c r="L66" i="1"/>
  <c r="S64" i="1"/>
  <c r="R64" i="1"/>
  <c r="Q64" i="1"/>
  <c r="T64" i="1" s="1"/>
  <c r="N64" i="1"/>
  <c r="M64" i="1"/>
  <c r="L64" i="1"/>
  <c r="L61" i="1" s="1"/>
  <c r="S63" i="1"/>
  <c r="R63" i="1"/>
  <c r="U63" i="1" s="1"/>
  <c r="Q63" i="1"/>
  <c r="Q60" i="1" s="1"/>
  <c r="N63" i="1"/>
  <c r="M63" i="1"/>
  <c r="L63" i="1"/>
  <c r="U55" i="1"/>
  <c r="T55" i="1"/>
  <c r="N55" i="1"/>
  <c r="N29" i="1" s="1"/>
  <c r="M55" i="1"/>
  <c r="L55" i="1"/>
  <c r="U54" i="1"/>
  <c r="T54" i="1"/>
  <c r="N54" i="1"/>
  <c r="M54" i="1"/>
  <c r="M28" i="1" s="1"/>
  <c r="L54" i="1"/>
  <c r="S53" i="1"/>
  <c r="R53" i="1"/>
  <c r="U53" i="1" s="1"/>
  <c r="Q53" i="1"/>
  <c r="T53" i="1" s="1"/>
  <c r="S52" i="1"/>
  <c r="R52" i="1"/>
  <c r="U52" i="1" s="1"/>
  <c r="Q52" i="1"/>
  <c r="Q50" i="1" s="1"/>
  <c r="T50" i="1" s="1"/>
  <c r="N52" i="1"/>
  <c r="M52" i="1"/>
  <c r="P52" i="1" s="1"/>
  <c r="L52" i="1"/>
  <c r="O52" i="1" s="1"/>
  <c r="U51" i="1"/>
  <c r="T51" i="1"/>
  <c r="P51" i="1"/>
  <c r="O51" i="1"/>
  <c r="S49" i="1"/>
  <c r="S47" i="1" s="1"/>
  <c r="R49" i="1"/>
  <c r="U49" i="1" s="1"/>
  <c r="Q49" i="1"/>
  <c r="Q47" i="1" s="1"/>
  <c r="T47" i="1" s="1"/>
  <c r="N49" i="1"/>
  <c r="M49" i="1"/>
  <c r="L49" i="1"/>
  <c r="U48" i="1"/>
  <c r="T48" i="1"/>
  <c r="N48" i="1"/>
  <c r="M48" i="1"/>
  <c r="L48" i="1"/>
  <c r="S45" i="1"/>
  <c r="R45" i="1"/>
  <c r="U45" i="1" s="1"/>
  <c r="Q45" i="1"/>
  <c r="U23" i="1"/>
  <c r="T23" i="1"/>
  <c r="U22" i="1"/>
  <c r="T22" i="1"/>
  <c r="S21" i="1"/>
  <c r="R21" i="1"/>
  <c r="U21" i="1" s="1"/>
  <c r="Q21" i="1"/>
  <c r="T21" i="1" s="1"/>
  <c r="S62" i="1" l="1"/>
  <c r="N203" i="1"/>
  <c r="Q356" i="1"/>
  <c r="T356" i="1" s="1"/>
  <c r="S356" i="1"/>
  <c r="N214" i="1"/>
  <c r="S232" i="1"/>
  <c r="N74" i="1"/>
  <c r="S214" i="1"/>
  <c r="S282" i="1"/>
  <c r="R222" i="1"/>
  <c r="L203" i="1"/>
  <c r="N232" i="1"/>
  <c r="Q232" i="1"/>
  <c r="S511" i="1"/>
  <c r="S553" i="1"/>
  <c r="Q574" i="1"/>
  <c r="T574" i="1" s="1"/>
  <c r="R320" i="1"/>
  <c r="U320" i="1" s="1"/>
  <c r="R356" i="1"/>
  <c r="U356" i="1" s="1"/>
  <c r="Q532" i="1"/>
  <c r="T532" i="1" s="1"/>
  <c r="S574" i="1"/>
  <c r="T575" i="1"/>
  <c r="K705" i="1"/>
  <c r="Q553" i="1"/>
  <c r="T553" i="1" s="1"/>
  <c r="N772" i="1"/>
  <c r="N222" i="1"/>
  <c r="S145" i="1"/>
  <c r="M641" i="1"/>
  <c r="P641" i="1" s="1"/>
  <c r="N642" i="1"/>
  <c r="L222" i="1"/>
  <c r="R203" i="1"/>
  <c r="T555" i="1"/>
  <c r="L772" i="1"/>
  <c r="O772" i="1" s="1"/>
  <c r="K595" i="1"/>
  <c r="M65" i="1"/>
  <c r="R333" i="1"/>
  <c r="U333" i="1" s="1"/>
  <c r="T358" i="1"/>
  <c r="S333" i="1"/>
  <c r="U335" i="1"/>
  <c r="Q511" i="1"/>
  <c r="T511" i="1" s="1"/>
  <c r="J596" i="1"/>
  <c r="K596" i="1" s="1"/>
  <c r="M222" i="1"/>
  <c r="Q214" i="1"/>
  <c r="M232" i="1"/>
  <c r="N269" i="1"/>
  <c r="S72" i="1"/>
  <c r="O191" i="1"/>
  <c r="L188" i="1"/>
  <c r="Q222" i="1"/>
  <c r="T222" i="1" s="1"/>
  <c r="Q186" i="1"/>
  <c r="T186" i="1" s="1"/>
  <c r="O76" i="1"/>
  <c r="P76" i="1"/>
  <c r="N413" i="1"/>
  <c r="R497" i="1"/>
  <c r="U497" i="1" s="1"/>
  <c r="U755" i="1"/>
  <c r="K787" i="1"/>
  <c r="K790" i="1"/>
  <c r="S222" i="1"/>
  <c r="P328" i="1"/>
  <c r="S203" i="1"/>
  <c r="T203" i="1" s="1"/>
  <c r="L617" i="1"/>
  <c r="O617" i="1" s="1"/>
  <c r="O377" i="1"/>
  <c r="J445" i="1"/>
  <c r="J439" i="1" s="1"/>
  <c r="K439" i="1" s="1"/>
  <c r="N555" i="1"/>
  <c r="O602" i="1"/>
  <c r="R614" i="1"/>
  <c r="L232" i="1"/>
  <c r="O232" i="1" s="1"/>
  <c r="T493" i="1"/>
  <c r="S373" i="1"/>
  <c r="U493" i="1"/>
  <c r="L598" i="1"/>
  <c r="M73" i="1"/>
  <c r="U118" i="1"/>
  <c r="L267" i="1"/>
  <c r="K503" i="1"/>
  <c r="T622" i="1"/>
  <c r="K785" i="1"/>
  <c r="K788" i="1"/>
  <c r="K791" i="1"/>
  <c r="M321" i="1"/>
  <c r="L357" i="1"/>
  <c r="L643" i="1"/>
  <c r="O643" i="1" s="1"/>
  <c r="M709" i="1"/>
  <c r="P709" i="1" s="1"/>
  <c r="S753" i="1"/>
  <c r="K786" i="1"/>
  <c r="K789" i="1"/>
  <c r="K792" i="1"/>
  <c r="P67" i="1"/>
  <c r="T158" i="1"/>
  <c r="K265" i="1"/>
  <c r="O337" i="1"/>
  <c r="J457" i="1"/>
  <c r="J465" i="1"/>
  <c r="L709" i="1"/>
  <c r="O709" i="1" s="1"/>
  <c r="L724" i="1"/>
  <c r="O724" i="1" s="1"/>
  <c r="U413" i="1"/>
  <c r="R72" i="1"/>
  <c r="N285" i="1"/>
  <c r="N709" i="1"/>
  <c r="N724" i="1"/>
  <c r="L214" i="1"/>
  <c r="N322" i="1"/>
  <c r="L493" i="1"/>
  <c r="K699" i="1"/>
  <c r="M189" i="1"/>
  <c r="L305" i="1"/>
  <c r="N362" i="1"/>
  <c r="M376" i="1"/>
  <c r="T413" i="1"/>
  <c r="T598" i="1"/>
  <c r="K768" i="1"/>
  <c r="R272" i="1"/>
  <c r="U272" i="1" s="1"/>
  <c r="I185" i="1"/>
  <c r="K185" i="1" s="1"/>
  <c r="K296" i="1"/>
  <c r="Q713" i="1"/>
  <c r="T713" i="1" s="1"/>
  <c r="S721" i="1"/>
  <c r="L309" i="1"/>
  <c r="O309" i="1" s="1"/>
  <c r="N142" i="1"/>
  <c r="L160" i="1"/>
  <c r="N163" i="1"/>
  <c r="R173" i="1"/>
  <c r="T689" i="1"/>
  <c r="K116" i="1"/>
  <c r="M158" i="1"/>
  <c r="N159" i="1"/>
  <c r="Q267" i="1"/>
  <c r="Q266" i="1" s="1"/>
  <c r="M393" i="1"/>
  <c r="M533" i="1"/>
  <c r="M556" i="1"/>
  <c r="K584" i="1"/>
  <c r="M754" i="1"/>
  <c r="P754" i="1" s="1"/>
  <c r="N756" i="1"/>
  <c r="K767" i="1"/>
  <c r="L45" i="1"/>
  <c r="O143" i="1"/>
  <c r="N189" i="1"/>
  <c r="K368" i="1"/>
  <c r="O394" i="1"/>
  <c r="S60" i="1"/>
  <c r="S25" i="1"/>
  <c r="U95" i="1"/>
  <c r="U141" i="1"/>
  <c r="P286" i="1"/>
  <c r="R396" i="1"/>
  <c r="U396" i="1" s="1"/>
  <c r="M417" i="1"/>
  <c r="P417" i="1" s="1"/>
  <c r="N417" i="1"/>
  <c r="L603" i="1"/>
  <c r="U754" i="1"/>
  <c r="R778" i="1"/>
  <c r="U778" i="1" s="1"/>
  <c r="P64" i="1"/>
  <c r="T140" i="1"/>
  <c r="K276" i="1"/>
  <c r="P394" i="1"/>
  <c r="N392" i="1"/>
  <c r="L575" i="1"/>
  <c r="N691" i="1"/>
  <c r="N140" i="1"/>
  <c r="O48" i="1"/>
  <c r="L95" i="1"/>
  <c r="N120" i="1"/>
  <c r="P125" i="1"/>
  <c r="R139" i="1"/>
  <c r="T175" i="1"/>
  <c r="Q411" i="1"/>
  <c r="N412" i="1"/>
  <c r="J482" i="1"/>
  <c r="K482" i="1" s="1"/>
  <c r="N598" i="1"/>
  <c r="N615" i="1"/>
  <c r="O725" i="1"/>
  <c r="S94" i="1"/>
  <c r="U175" i="1"/>
  <c r="R303" i="1"/>
  <c r="Q373" i="1"/>
  <c r="K502" i="1"/>
  <c r="K522" i="1"/>
  <c r="N559" i="1"/>
  <c r="U641" i="1"/>
  <c r="T696" i="1"/>
  <c r="K701" i="1"/>
  <c r="M61" i="1"/>
  <c r="N97" i="1"/>
  <c r="K137" i="1"/>
  <c r="J199" i="1"/>
  <c r="K299" i="1"/>
  <c r="P337" i="1"/>
  <c r="K346" i="1"/>
  <c r="K501" i="1"/>
  <c r="P519" i="1"/>
  <c r="M642" i="1"/>
  <c r="U722" i="1"/>
  <c r="K735" i="1"/>
  <c r="K739" i="1"/>
  <c r="Q727" i="1"/>
  <c r="T727" i="1" s="1"/>
  <c r="R47" i="1"/>
  <c r="U47" i="1" s="1"/>
  <c r="T73" i="1"/>
  <c r="K90" i="1"/>
  <c r="N175" i="1"/>
  <c r="M288" i="1"/>
  <c r="P288" i="1" s="1"/>
  <c r="Q309" i="1"/>
  <c r="T309" i="1" s="1"/>
  <c r="N379" i="1"/>
  <c r="L412" i="1"/>
  <c r="J423" i="1"/>
  <c r="K423" i="1" s="1"/>
  <c r="M497" i="1"/>
  <c r="P497" i="1" s="1"/>
  <c r="N493" i="1"/>
  <c r="M513" i="1"/>
  <c r="N535" i="1"/>
  <c r="K563" i="1"/>
  <c r="K625" i="1"/>
  <c r="P644" i="1"/>
  <c r="K677" i="1"/>
  <c r="L689" i="1"/>
  <c r="O689" i="1" s="1"/>
  <c r="U690" i="1"/>
  <c r="U772" i="1"/>
  <c r="L174" i="1"/>
  <c r="O194" i="1"/>
  <c r="S688" i="1"/>
  <c r="R50" i="1"/>
  <c r="U50" i="1" s="1"/>
  <c r="T63" i="1"/>
  <c r="T74" i="1"/>
  <c r="K85" i="1"/>
  <c r="T96" i="1"/>
  <c r="P122" i="1"/>
  <c r="N187" i="1"/>
  <c r="U188" i="1"/>
  <c r="L189" i="1"/>
  <c r="K219" i="1"/>
  <c r="M304" i="1"/>
  <c r="N326" i="1"/>
  <c r="N375" i="1"/>
  <c r="J444" i="1"/>
  <c r="J438" i="1" s="1"/>
  <c r="K438" i="1" s="1"/>
  <c r="Q491" i="1"/>
  <c r="O496" i="1"/>
  <c r="O536" i="1"/>
  <c r="T616" i="1"/>
  <c r="M620" i="1"/>
  <c r="P620" i="1" s="1"/>
  <c r="J680" i="1"/>
  <c r="K680" i="1" s="1"/>
  <c r="M756" i="1"/>
  <c r="P756" i="1" s="1"/>
  <c r="Q61" i="1"/>
  <c r="T61" i="1" s="1"/>
  <c r="M119" i="1"/>
  <c r="P48" i="1"/>
  <c r="M46" i="1"/>
  <c r="M60" i="1"/>
  <c r="U96" i="1"/>
  <c r="M97" i="1"/>
  <c r="T118" i="1"/>
  <c r="M118" i="1"/>
  <c r="N119" i="1"/>
  <c r="S139" i="1"/>
  <c r="K151" i="1"/>
  <c r="Q173" i="1"/>
  <c r="K228" i="1"/>
  <c r="N304" i="1"/>
  <c r="O308" i="1"/>
  <c r="N323" i="1"/>
  <c r="O328" i="1"/>
  <c r="M334" i="1"/>
  <c r="M392" i="1"/>
  <c r="P392" i="1" s="1"/>
  <c r="U492" i="1"/>
  <c r="N538" i="1"/>
  <c r="N556" i="1"/>
  <c r="M580" i="1"/>
  <c r="P580" i="1" s="1"/>
  <c r="N580" i="1"/>
  <c r="O601" i="1"/>
  <c r="P602" i="1"/>
  <c r="L620" i="1"/>
  <c r="O620" i="1" s="1"/>
  <c r="J659" i="1"/>
  <c r="K659" i="1" s="1"/>
  <c r="K671" i="1"/>
  <c r="K679" i="1"/>
  <c r="R688" i="1"/>
  <c r="T60" i="1"/>
  <c r="L756" i="1"/>
  <c r="O756" i="1" s="1"/>
  <c r="R26" i="1"/>
  <c r="U26" i="1" s="1"/>
  <c r="M62" i="1"/>
  <c r="R75" i="1"/>
  <c r="U75" i="1" s="1"/>
  <c r="O77" i="1"/>
  <c r="M78" i="1"/>
  <c r="P78" i="1" s="1"/>
  <c r="J83" i="1"/>
  <c r="J71" i="1" s="1"/>
  <c r="R100" i="1"/>
  <c r="U100" i="1" s="1"/>
  <c r="K113" i="1"/>
  <c r="P190" i="1"/>
  <c r="L306" i="1"/>
  <c r="R393" i="1"/>
  <c r="U393" i="1" s="1"/>
  <c r="M492" i="1"/>
  <c r="K552" i="1"/>
  <c r="S709" i="1"/>
  <c r="S707" i="1" s="1"/>
  <c r="Q778" i="1"/>
  <c r="T778" i="1" s="1"/>
  <c r="S46" i="1"/>
  <c r="S44" i="1" s="1"/>
  <c r="L535" i="1"/>
  <c r="Q600" i="1"/>
  <c r="T600" i="1" s="1"/>
  <c r="K86" i="1"/>
  <c r="K89" i="1"/>
  <c r="K108" i="1"/>
  <c r="K114" i="1"/>
  <c r="K130" i="1"/>
  <c r="L176" i="1"/>
  <c r="N176" i="1"/>
  <c r="M187" i="1"/>
  <c r="T188" i="1"/>
  <c r="N272" i="1"/>
  <c r="R309" i="1"/>
  <c r="U309" i="1" s="1"/>
  <c r="P377" i="1"/>
  <c r="P378" i="1"/>
  <c r="M374" i="1"/>
  <c r="K386" i="1"/>
  <c r="N414" i="1"/>
  <c r="L600" i="1"/>
  <c r="M616" i="1"/>
  <c r="P616" i="1" s="1"/>
  <c r="O618" i="1"/>
  <c r="M643" i="1"/>
  <c r="P643" i="1" s="1"/>
  <c r="L646" i="1"/>
  <c r="O646" i="1" s="1"/>
  <c r="K674" i="1"/>
  <c r="U689" i="1"/>
  <c r="K702" i="1"/>
  <c r="U723" i="1"/>
  <c r="R727" i="1"/>
  <c r="U727" i="1" s="1"/>
  <c r="J719" i="1"/>
  <c r="K719" i="1" s="1"/>
  <c r="M759" i="1"/>
  <c r="P759" i="1" s="1"/>
  <c r="N759" i="1"/>
  <c r="T777" i="1"/>
  <c r="N534" i="1"/>
  <c r="M50" i="1"/>
  <c r="P50" i="1" s="1"/>
  <c r="R65" i="1"/>
  <c r="U65" i="1" s="1"/>
  <c r="N75" i="1"/>
  <c r="M95" i="1"/>
  <c r="K128" i="1"/>
  <c r="U140" i="1"/>
  <c r="K183" i="1"/>
  <c r="L192" i="1"/>
  <c r="Q269" i="1"/>
  <c r="T269" i="1" s="1"/>
  <c r="T304" i="1"/>
  <c r="L393" i="1"/>
  <c r="I490" i="1"/>
  <c r="K490" i="1" s="1"/>
  <c r="S491" i="1"/>
  <c r="N497" i="1"/>
  <c r="K510" i="1"/>
  <c r="N533" i="1"/>
  <c r="N554" i="1"/>
  <c r="P557" i="1"/>
  <c r="Q597" i="1"/>
  <c r="T597" i="1" s="1"/>
  <c r="N603" i="1"/>
  <c r="L641" i="1"/>
  <c r="O641" i="1" s="1"/>
  <c r="K676" i="1"/>
  <c r="J673" i="1"/>
  <c r="K673" i="1" s="1"/>
  <c r="U708" i="1"/>
  <c r="R713" i="1"/>
  <c r="U713" i="1" s="1"/>
  <c r="M724" i="1"/>
  <c r="P724" i="1" s="1"/>
  <c r="K733" i="1"/>
  <c r="U774" i="1"/>
  <c r="R775" i="1"/>
  <c r="U775" i="1" s="1"/>
  <c r="J82" i="1"/>
  <c r="J70" i="1" s="1"/>
  <c r="T95" i="1"/>
  <c r="L23" i="1"/>
  <c r="K129" i="1"/>
  <c r="K152" i="1"/>
  <c r="N192" i="1"/>
  <c r="O196" i="1"/>
  <c r="U304" i="1"/>
  <c r="L336" i="1"/>
  <c r="O361" i="1"/>
  <c r="R392" i="1"/>
  <c r="U392" i="1" s="1"/>
  <c r="R417" i="1"/>
  <c r="U417" i="1" s="1"/>
  <c r="J431" i="1"/>
  <c r="K431" i="1" s="1"/>
  <c r="J458" i="1"/>
  <c r="J483" i="1"/>
  <c r="K483" i="1" s="1"/>
  <c r="K505" i="1"/>
  <c r="N512" i="1"/>
  <c r="K585" i="1"/>
  <c r="N599" i="1"/>
  <c r="N620" i="1"/>
  <c r="J652" i="1"/>
  <c r="K652" i="1" s="1"/>
  <c r="P712" i="1"/>
  <c r="T722" i="1"/>
  <c r="L46" i="1"/>
  <c r="N61" i="1"/>
  <c r="O61" i="1" s="1"/>
  <c r="K92" i="1"/>
  <c r="N321" i="1"/>
  <c r="L326" i="1"/>
  <c r="Q379" i="1"/>
  <c r="T379" i="1" s="1"/>
  <c r="P536" i="1"/>
  <c r="N576" i="1"/>
  <c r="M598" i="1"/>
  <c r="U615" i="1"/>
  <c r="R620" i="1"/>
  <c r="U620" i="1" s="1"/>
  <c r="O622" i="1"/>
  <c r="N641" i="1"/>
  <c r="K651" i="1"/>
  <c r="N690" i="1"/>
  <c r="N694" i="1"/>
  <c r="M713" i="1"/>
  <c r="P713" i="1" s="1"/>
  <c r="N727" i="1"/>
  <c r="K745" i="1"/>
  <c r="O757" i="1"/>
  <c r="I365" i="1"/>
  <c r="K365" i="1" s="1"/>
  <c r="K369" i="1"/>
  <c r="P695" i="1"/>
  <c r="M694" i="1"/>
  <c r="P694" i="1" s="1"/>
  <c r="O715" i="1"/>
  <c r="L713" i="1"/>
  <c r="O713" i="1" s="1"/>
  <c r="M47" i="1"/>
  <c r="N23" i="1"/>
  <c r="U64" i="1"/>
  <c r="R61" i="1"/>
  <c r="U61" i="1" s="1"/>
  <c r="L97" i="1"/>
  <c r="N123" i="1"/>
  <c r="N118" i="1"/>
  <c r="L145" i="1"/>
  <c r="O145" i="1" s="1"/>
  <c r="M267" i="1"/>
  <c r="P325" i="1"/>
  <c r="M322" i="1"/>
  <c r="O274" i="1"/>
  <c r="L268" i="1"/>
  <c r="O579" i="1"/>
  <c r="L577" i="1"/>
  <c r="L576" i="1"/>
  <c r="R721" i="1"/>
  <c r="S26" i="1"/>
  <c r="L163" i="1"/>
  <c r="O163" i="1" s="1"/>
  <c r="O164" i="1"/>
  <c r="Q65" i="1"/>
  <c r="T65" i="1" s="1"/>
  <c r="T67" i="1"/>
  <c r="I82" i="1"/>
  <c r="I70" i="1" s="1"/>
  <c r="K138" i="1"/>
  <c r="J202" i="1"/>
  <c r="K202" i="1" s="1"/>
  <c r="K209" i="1"/>
  <c r="M375" i="1"/>
  <c r="P381" i="1"/>
  <c r="O398" i="1"/>
  <c r="L392" i="1"/>
  <c r="O392" i="1" s="1"/>
  <c r="I531" i="1"/>
  <c r="K531" i="1" s="1"/>
  <c r="K542" i="1"/>
  <c r="L555" i="1"/>
  <c r="O561" i="1"/>
  <c r="M710" i="1"/>
  <c r="P710" i="1" s="1"/>
  <c r="U712" i="1"/>
  <c r="R709" i="1"/>
  <c r="R707" i="1" s="1"/>
  <c r="R710" i="1"/>
  <c r="U710" i="1" s="1"/>
  <c r="P728" i="1"/>
  <c r="M722" i="1"/>
  <c r="P722" i="1" s="1"/>
  <c r="M727" i="1"/>
  <c r="P727" i="1" s="1"/>
  <c r="M335" i="1"/>
  <c r="P338" i="1"/>
  <c r="R145" i="1"/>
  <c r="U145" i="1" s="1"/>
  <c r="U146" i="1"/>
  <c r="R232" i="1"/>
  <c r="K314" i="1"/>
  <c r="I302" i="1"/>
  <c r="K302" i="1" s="1"/>
  <c r="L29" i="1"/>
  <c r="O29" i="1" s="1"/>
  <c r="T52" i="1"/>
  <c r="O55" i="1"/>
  <c r="L74" i="1"/>
  <c r="O80" i="1"/>
  <c r="R46" i="1"/>
  <c r="U46" i="1" s="1"/>
  <c r="R60" i="1"/>
  <c r="U60" i="1" s="1"/>
  <c r="P143" i="1"/>
  <c r="M140" i="1"/>
  <c r="M555" i="1"/>
  <c r="P558" i="1"/>
  <c r="L616" i="1"/>
  <c r="O616" i="1" s="1"/>
  <c r="O619" i="1"/>
  <c r="M646" i="1"/>
  <c r="P646" i="1" s="1"/>
  <c r="P648" i="1"/>
  <c r="L710" i="1"/>
  <c r="O710" i="1" s="1"/>
  <c r="O712" i="1"/>
  <c r="R753" i="1"/>
  <c r="M414" i="1"/>
  <c r="M412" i="1"/>
  <c r="U181" i="1"/>
  <c r="R179" i="1"/>
  <c r="U179" i="1" s="1"/>
  <c r="O290" i="1"/>
  <c r="L288" i="1"/>
  <c r="O288" i="1" s="1"/>
  <c r="M45" i="1"/>
  <c r="S50" i="1"/>
  <c r="M96" i="1"/>
  <c r="Q26" i="1"/>
  <c r="T26" i="1" s="1"/>
  <c r="L50" i="1"/>
  <c r="O50" i="1" s="1"/>
  <c r="S65" i="1"/>
  <c r="S61" i="1"/>
  <c r="N78" i="1"/>
  <c r="S269" i="1"/>
  <c r="S267" i="1"/>
  <c r="S266" i="1" s="1"/>
  <c r="L272" i="1"/>
  <c r="O272" i="1" s="1"/>
  <c r="Q393" i="1"/>
  <c r="T393" i="1" s="1"/>
  <c r="T395" i="1"/>
  <c r="L494" i="1"/>
  <c r="L492" i="1"/>
  <c r="L556" i="1"/>
  <c r="O557" i="1"/>
  <c r="M617" i="1"/>
  <c r="P617" i="1" s="1"/>
  <c r="P618" i="1"/>
  <c r="M615" i="1"/>
  <c r="P615" i="1" s="1"/>
  <c r="M689" i="1"/>
  <c r="P689" i="1" s="1"/>
  <c r="O760" i="1"/>
  <c r="L759" i="1"/>
  <c r="O759" i="1" s="1"/>
  <c r="Q72" i="1"/>
  <c r="R78" i="1"/>
  <c r="U78" i="1" s="1"/>
  <c r="K93" i="1"/>
  <c r="N141" i="1"/>
  <c r="K167" i="1"/>
  <c r="K198" i="1"/>
  <c r="N267" i="1"/>
  <c r="T274" i="1"/>
  <c r="O327" i="1"/>
  <c r="L334" i="1"/>
  <c r="N359" i="1"/>
  <c r="T374" i="1"/>
  <c r="N376" i="1"/>
  <c r="N374" i="1"/>
  <c r="T398" i="1"/>
  <c r="J466" i="1"/>
  <c r="M494" i="1"/>
  <c r="P561" i="1"/>
  <c r="R603" i="1"/>
  <c r="U603" i="1" s="1"/>
  <c r="L615" i="1"/>
  <c r="N617" i="1"/>
  <c r="J634" i="1"/>
  <c r="J633" i="1" s="1"/>
  <c r="L642" i="1"/>
  <c r="O642" i="1" s="1"/>
  <c r="P645" i="1"/>
  <c r="R646" i="1"/>
  <c r="U646" i="1" s="1"/>
  <c r="N646" i="1"/>
  <c r="T648" i="1"/>
  <c r="J672" i="1"/>
  <c r="K672" i="1" s="1"/>
  <c r="N689" i="1"/>
  <c r="K737" i="1"/>
  <c r="K742" i="1"/>
  <c r="K748" i="1"/>
  <c r="K769" i="1"/>
  <c r="U74" i="1"/>
  <c r="L78" i="1"/>
  <c r="O78" i="1" s="1"/>
  <c r="K84" i="1"/>
  <c r="K87" i="1"/>
  <c r="R94" i="1"/>
  <c r="Q100" i="1"/>
  <c r="T100" i="1" s="1"/>
  <c r="L140" i="1"/>
  <c r="K150" i="1"/>
  <c r="L158" i="1"/>
  <c r="M163" i="1"/>
  <c r="P163" i="1" s="1"/>
  <c r="L187" i="1"/>
  <c r="T187" i="1"/>
  <c r="K298" i="1"/>
  <c r="O324" i="1"/>
  <c r="M326" i="1"/>
  <c r="J343" i="1"/>
  <c r="N358" i="1"/>
  <c r="L358" i="1"/>
  <c r="M362" i="1"/>
  <c r="P362" i="1" s="1"/>
  <c r="L374" i="1"/>
  <c r="L376" i="1"/>
  <c r="O604" i="1"/>
  <c r="S614" i="1"/>
  <c r="N616" i="1"/>
  <c r="Q709" i="1"/>
  <c r="T709" i="1" s="1"/>
  <c r="T712" i="1"/>
  <c r="R117" i="1"/>
  <c r="O125" i="1"/>
  <c r="K127" i="1"/>
  <c r="N145" i="1"/>
  <c r="K238" i="1"/>
  <c r="K295" i="1"/>
  <c r="N309" i="1"/>
  <c r="M309" i="1"/>
  <c r="P309" i="1" s="1"/>
  <c r="N339" i="1"/>
  <c r="N393" i="1"/>
  <c r="L580" i="1"/>
  <c r="O580" i="1" s="1"/>
  <c r="M575" i="1"/>
  <c r="M600" i="1"/>
  <c r="M603" i="1"/>
  <c r="K626" i="1"/>
  <c r="K650" i="1"/>
  <c r="L722" i="1"/>
  <c r="O722" i="1" s="1"/>
  <c r="L754" i="1"/>
  <c r="O754" i="1" s="1"/>
  <c r="T754" i="1"/>
  <c r="J770" i="1"/>
  <c r="K770" i="1" s="1"/>
  <c r="T772" i="1"/>
  <c r="K195" i="1"/>
  <c r="N283" i="1"/>
  <c r="S303" i="1"/>
  <c r="N517" i="1"/>
  <c r="R640" i="1"/>
  <c r="Q62" i="1"/>
  <c r="T62" i="1" s="1"/>
  <c r="K88" i="1"/>
  <c r="Q94" i="1"/>
  <c r="P99" i="1"/>
  <c r="N96" i="1"/>
  <c r="K172" i="1"/>
  <c r="N179" i="1"/>
  <c r="O190" i="1"/>
  <c r="K221" i="1"/>
  <c r="U268" i="1"/>
  <c r="K292" i="1"/>
  <c r="L304" i="1"/>
  <c r="N305" i="1"/>
  <c r="P341" i="1"/>
  <c r="J351" i="1"/>
  <c r="O378" i="1"/>
  <c r="R491" i="1"/>
  <c r="L497" i="1"/>
  <c r="O497" i="1" s="1"/>
  <c r="P498" i="1"/>
  <c r="K504" i="1"/>
  <c r="K507" i="1"/>
  <c r="P516" i="1"/>
  <c r="N575" i="1"/>
  <c r="N577" i="1"/>
  <c r="R600" i="1"/>
  <c r="U600" i="1" s="1"/>
  <c r="P601" i="1"/>
  <c r="S640" i="1"/>
  <c r="M691" i="1"/>
  <c r="P691" i="1" s="1"/>
  <c r="K700" i="1"/>
  <c r="J720" i="1"/>
  <c r="K720" i="1" s="1"/>
  <c r="N722" i="1"/>
  <c r="N754" i="1"/>
  <c r="L25" i="1"/>
  <c r="O66" i="1"/>
  <c r="O181" i="1"/>
  <c r="L179" i="1"/>
  <c r="P49" i="1"/>
  <c r="L65" i="1"/>
  <c r="O67" i="1"/>
  <c r="R19" i="1"/>
  <c r="U73" i="1"/>
  <c r="N100" i="1"/>
  <c r="P146" i="1"/>
  <c r="M145" i="1"/>
  <c r="P145" i="1" s="1"/>
  <c r="N160" i="1"/>
  <c r="N158" i="1"/>
  <c r="T162" i="1"/>
  <c r="Q159" i="1"/>
  <c r="Q160" i="1"/>
  <c r="T160" i="1" s="1"/>
  <c r="N268" i="1"/>
  <c r="O271" i="1"/>
  <c r="N47" i="1"/>
  <c r="P63" i="1"/>
  <c r="N62" i="1"/>
  <c r="N22" i="1"/>
  <c r="I83" i="1"/>
  <c r="P66" i="1"/>
  <c r="N65" i="1"/>
  <c r="N25" i="1"/>
  <c r="P77" i="1"/>
  <c r="M74" i="1"/>
  <c r="M75" i="1"/>
  <c r="M23" i="1"/>
  <c r="S173" i="1"/>
  <c r="T174" i="1"/>
  <c r="P180" i="1"/>
  <c r="M179" i="1"/>
  <c r="N284" i="1"/>
  <c r="N288" i="1"/>
  <c r="J280" i="1"/>
  <c r="K280" i="1" s="1"/>
  <c r="K293" i="1"/>
  <c r="N45" i="1"/>
  <c r="N53" i="1"/>
  <c r="P121" i="1"/>
  <c r="M120" i="1"/>
  <c r="L60" i="1"/>
  <c r="R62" i="1"/>
  <c r="U62" i="1" s="1"/>
  <c r="L73" i="1"/>
  <c r="P80" i="1"/>
  <c r="M26" i="1"/>
  <c r="N95" i="1"/>
  <c r="T141" i="1"/>
  <c r="Q139" i="1"/>
  <c r="P177" i="1"/>
  <c r="M176" i="1"/>
  <c r="M174" i="1"/>
  <c r="U267" i="1"/>
  <c r="R266" i="1"/>
  <c r="M358" i="1"/>
  <c r="P361" i="1"/>
  <c r="M359" i="1"/>
  <c r="M22" i="1"/>
  <c r="L26" i="1"/>
  <c r="N46" i="1"/>
  <c r="L47" i="1"/>
  <c r="L22" i="1"/>
  <c r="O49" i="1"/>
  <c r="O54" i="1"/>
  <c r="L28" i="1"/>
  <c r="P55" i="1"/>
  <c r="M53" i="1"/>
  <c r="M29" i="1"/>
  <c r="P29" i="1" s="1"/>
  <c r="N60" i="1"/>
  <c r="O63" i="1"/>
  <c r="R25" i="1"/>
  <c r="U66" i="1"/>
  <c r="T77" i="1"/>
  <c r="Q75" i="1"/>
  <c r="T75" i="1" s="1"/>
  <c r="S78" i="1"/>
  <c r="T79" i="1"/>
  <c r="Q78" i="1"/>
  <c r="T78" i="1" s="1"/>
  <c r="Q25" i="1"/>
  <c r="O98" i="1"/>
  <c r="O102" i="1"/>
  <c r="L96" i="1"/>
  <c r="K154" i="1"/>
  <c r="I136" i="1"/>
  <c r="K136" i="1" s="1"/>
  <c r="I156" i="1"/>
  <c r="K156" i="1" s="1"/>
  <c r="K168" i="1"/>
  <c r="P194" i="1"/>
  <c r="M192" i="1"/>
  <c r="N28" i="1"/>
  <c r="P28" i="1" s="1"/>
  <c r="T45" i="1"/>
  <c r="M25" i="1"/>
  <c r="Q46" i="1"/>
  <c r="Q44" i="1" s="1"/>
  <c r="T44" i="1" s="1"/>
  <c r="T49" i="1"/>
  <c r="N26" i="1"/>
  <c r="N50" i="1"/>
  <c r="L53" i="1"/>
  <c r="P54" i="1"/>
  <c r="L62" i="1"/>
  <c r="O64" i="1"/>
  <c r="N73" i="1"/>
  <c r="L75" i="1"/>
  <c r="L100" i="1"/>
  <c r="O100" i="1" s="1"/>
  <c r="O101" i="1"/>
  <c r="S117" i="1"/>
  <c r="U119" i="1"/>
  <c r="T119" i="1"/>
  <c r="U158" i="1"/>
  <c r="O161" i="1"/>
  <c r="P162" i="1"/>
  <c r="M159" i="1"/>
  <c r="P274" i="1"/>
  <c r="M272" i="1"/>
  <c r="P272" i="1" s="1"/>
  <c r="M268" i="1"/>
  <c r="L322" i="1"/>
  <c r="O325" i="1"/>
  <c r="L323" i="1"/>
  <c r="K627" i="1"/>
  <c r="K629" i="1"/>
  <c r="K628" i="1"/>
  <c r="I613" i="1"/>
  <c r="T615" i="1"/>
  <c r="Q614" i="1"/>
  <c r="Q117" i="1"/>
  <c r="P161" i="1"/>
  <c r="M160" i="1"/>
  <c r="U174" i="1"/>
  <c r="O180" i="1"/>
  <c r="U186" i="1"/>
  <c r="M283" i="1"/>
  <c r="P289" i="1"/>
  <c r="P308" i="1"/>
  <c r="M306" i="1"/>
  <c r="M305" i="1"/>
  <c r="Q333" i="1"/>
  <c r="T333" i="1" s="1"/>
  <c r="O341" i="1"/>
  <c r="L339" i="1"/>
  <c r="L335" i="1"/>
  <c r="U391" i="1"/>
  <c r="U270" i="1"/>
  <c r="R269" i="1"/>
  <c r="U269" i="1" s="1"/>
  <c r="T283" i="1"/>
  <c r="Q282" i="1"/>
  <c r="T282" i="1" s="1"/>
  <c r="O360" i="1"/>
  <c r="L359" i="1"/>
  <c r="K384" i="1"/>
  <c r="I372" i="1"/>
  <c r="N514" i="1"/>
  <c r="N513" i="1"/>
  <c r="P537" i="1"/>
  <c r="M534" i="1"/>
  <c r="U554" i="1"/>
  <c r="R553" i="1"/>
  <c r="U553" i="1" s="1"/>
  <c r="U598" i="1"/>
  <c r="R597" i="1"/>
  <c r="U597" i="1" s="1"/>
  <c r="U162" i="1"/>
  <c r="R159" i="1"/>
  <c r="R157" i="1" s="1"/>
  <c r="I213" i="1"/>
  <c r="K213" i="1" s="1"/>
  <c r="K220" i="1"/>
  <c r="K231" i="1"/>
  <c r="R282" i="1"/>
  <c r="U282" i="1" s="1"/>
  <c r="U283" i="1"/>
  <c r="O287" i="1"/>
  <c r="L284" i="1"/>
  <c r="N306" i="1"/>
  <c r="P307" i="1"/>
  <c r="O307" i="1"/>
  <c r="Q320" i="1"/>
  <c r="T320" i="1" s="1"/>
  <c r="U381" i="1"/>
  <c r="R379" i="1"/>
  <c r="U379" i="1" s="1"/>
  <c r="S411" i="1"/>
  <c r="T412" i="1"/>
  <c r="O416" i="1"/>
  <c r="L413" i="1"/>
  <c r="L514" i="1"/>
  <c r="O514" i="1" s="1"/>
  <c r="O515" i="1"/>
  <c r="L512" i="1"/>
  <c r="L534" i="1"/>
  <c r="O540" i="1"/>
  <c r="O144" i="1"/>
  <c r="L141" i="1"/>
  <c r="O99" i="1"/>
  <c r="O122" i="1"/>
  <c r="L119" i="1"/>
  <c r="O124" i="1"/>
  <c r="L123" i="1"/>
  <c r="L142" i="1"/>
  <c r="P144" i="1"/>
  <c r="M141" i="1"/>
  <c r="Q145" i="1"/>
  <c r="T145" i="1" s="1"/>
  <c r="S159" i="1"/>
  <c r="S160" i="1"/>
  <c r="O178" i="1"/>
  <c r="L175" i="1"/>
  <c r="P191" i="1"/>
  <c r="M188" i="1"/>
  <c r="K229" i="1"/>
  <c r="T268" i="1"/>
  <c r="O270" i="1"/>
  <c r="L269" i="1"/>
  <c r="M285" i="1"/>
  <c r="M284" i="1"/>
  <c r="P287" i="1"/>
  <c r="T305" i="1"/>
  <c r="O381" i="1"/>
  <c r="L379" i="1"/>
  <c r="O379" i="1" s="1"/>
  <c r="L375" i="1"/>
  <c r="O415" i="1"/>
  <c r="L414" i="1"/>
  <c r="O418" i="1"/>
  <c r="L417" i="1"/>
  <c r="O417" i="1" s="1"/>
  <c r="R511" i="1"/>
  <c r="U511" i="1" s="1"/>
  <c r="U512" i="1"/>
  <c r="P98" i="1"/>
  <c r="M100" i="1"/>
  <c r="P100" i="1" s="1"/>
  <c r="K109" i="1"/>
  <c r="L118" i="1"/>
  <c r="O121" i="1"/>
  <c r="L120" i="1"/>
  <c r="P124" i="1"/>
  <c r="M123" i="1"/>
  <c r="M142" i="1"/>
  <c r="K153" i="1"/>
  <c r="R160" i="1"/>
  <c r="U160" i="1" s="1"/>
  <c r="O162" i="1"/>
  <c r="L159" i="1"/>
  <c r="N174" i="1"/>
  <c r="O177" i="1"/>
  <c r="P178" i="1"/>
  <c r="M175" i="1"/>
  <c r="Q179" i="1"/>
  <c r="T179" i="1" s="1"/>
  <c r="N188" i="1"/>
  <c r="P270" i="1"/>
  <c r="M269" i="1"/>
  <c r="P271" i="1"/>
  <c r="L285" i="1"/>
  <c r="O286" i="1"/>
  <c r="L283" i="1"/>
  <c r="U305" i="1"/>
  <c r="U374" i="1"/>
  <c r="N396" i="1"/>
  <c r="N492" i="1"/>
  <c r="N494" i="1"/>
  <c r="P495" i="1"/>
  <c r="I281" i="1"/>
  <c r="K281" i="1" s="1"/>
  <c r="S320" i="1"/>
  <c r="N335" i="1"/>
  <c r="N336" i="1"/>
  <c r="O338" i="1"/>
  <c r="N357" i="1"/>
  <c r="P360" i="1"/>
  <c r="P380" i="1"/>
  <c r="M379" i="1"/>
  <c r="P379" i="1" s="1"/>
  <c r="S392" i="1"/>
  <c r="S390" i="1" s="1"/>
  <c r="U533" i="1"/>
  <c r="R532" i="1"/>
  <c r="U532" i="1" s="1"/>
  <c r="O560" i="1"/>
  <c r="L554" i="1"/>
  <c r="L559" i="1"/>
  <c r="Q303" i="1"/>
  <c r="K330" i="1"/>
  <c r="J319" i="1"/>
  <c r="K319" i="1" s="1"/>
  <c r="O363" i="1"/>
  <c r="L362" i="1"/>
  <c r="O362" i="1" s="1"/>
  <c r="T419" i="1"/>
  <c r="Q417" i="1"/>
  <c r="T417" i="1" s="1"/>
  <c r="T499" i="1"/>
  <c r="Q497" i="1"/>
  <c r="T497" i="1" s="1"/>
  <c r="O516" i="1"/>
  <c r="L513" i="1"/>
  <c r="O539" i="1"/>
  <c r="L538" i="1"/>
  <c r="L533" i="1"/>
  <c r="P324" i="1"/>
  <c r="M323" i="1"/>
  <c r="M336" i="1"/>
  <c r="P340" i="1"/>
  <c r="M339" i="1"/>
  <c r="U375" i="1"/>
  <c r="R373" i="1"/>
  <c r="L396" i="1"/>
  <c r="O396" i="1" s="1"/>
  <c r="O397" i="1"/>
  <c r="L391" i="1"/>
  <c r="T641" i="1"/>
  <c r="Q640" i="1"/>
  <c r="T642" i="1"/>
  <c r="I751" i="1"/>
  <c r="K751" i="1" s="1"/>
  <c r="K765" i="1"/>
  <c r="L321" i="1"/>
  <c r="N334" i="1"/>
  <c r="M357" i="1"/>
  <c r="T375" i="1"/>
  <c r="P397" i="1"/>
  <c r="M391" i="1"/>
  <c r="U412" i="1"/>
  <c r="M514" i="1"/>
  <c r="P514" i="1" s="1"/>
  <c r="P540" i="1"/>
  <c r="M538" i="1"/>
  <c r="P578" i="1"/>
  <c r="T708" i="1"/>
  <c r="J372" i="1"/>
  <c r="P416" i="1"/>
  <c r="M413" i="1"/>
  <c r="M559" i="1"/>
  <c r="M554" i="1"/>
  <c r="M576" i="1"/>
  <c r="M577" i="1"/>
  <c r="O340" i="1"/>
  <c r="K389" i="1"/>
  <c r="N391" i="1"/>
  <c r="T391" i="1"/>
  <c r="Q392" i="1"/>
  <c r="T392" i="1" s="1"/>
  <c r="J430" i="1"/>
  <c r="O495" i="1"/>
  <c r="M512" i="1"/>
  <c r="M517" i="1"/>
  <c r="M535" i="1"/>
  <c r="O578" i="1"/>
  <c r="J332" i="1"/>
  <c r="K332" i="1" s="1"/>
  <c r="M396" i="1"/>
  <c r="P396" i="1" s="1"/>
  <c r="R411" i="1"/>
  <c r="P415" i="1"/>
  <c r="P418" i="1"/>
  <c r="J422" i="1"/>
  <c r="K422" i="1" s="1"/>
  <c r="I454" i="1"/>
  <c r="T492" i="1"/>
  <c r="P496" i="1"/>
  <c r="M493" i="1"/>
  <c r="O519" i="1"/>
  <c r="L517" i="1"/>
  <c r="P560" i="1"/>
  <c r="R574" i="1"/>
  <c r="U574" i="1" s="1"/>
  <c r="P579" i="1"/>
  <c r="K573" i="1"/>
  <c r="J630" i="1"/>
  <c r="J624" i="1" s="1"/>
  <c r="N708" i="1"/>
  <c r="N713" i="1"/>
  <c r="Q688" i="1"/>
  <c r="T690" i="1"/>
  <c r="N723" i="1"/>
  <c r="M772" i="1"/>
  <c r="P772" i="1" s="1"/>
  <c r="P774" i="1"/>
  <c r="Q721" i="1"/>
  <c r="T723" i="1"/>
  <c r="N755" i="1"/>
  <c r="P605" i="1"/>
  <c r="M599" i="1"/>
  <c r="U616" i="1"/>
  <c r="Q753" i="1"/>
  <c r="T755" i="1"/>
  <c r="T774" i="1"/>
  <c r="L599" i="1"/>
  <c r="P604" i="1"/>
  <c r="U642" i="1"/>
  <c r="M690" i="1"/>
  <c r="M708" i="1"/>
  <c r="P714" i="1"/>
  <c r="M723" i="1"/>
  <c r="I752" i="1"/>
  <c r="K752" i="1" s="1"/>
  <c r="M755" i="1"/>
  <c r="N600" i="1"/>
  <c r="Q603" i="1"/>
  <c r="T603" i="1" s="1"/>
  <c r="N643" i="1"/>
  <c r="L691" i="1"/>
  <c r="O691" i="1" s="1"/>
  <c r="L694" i="1"/>
  <c r="O694" i="1" s="1"/>
  <c r="R694" i="1"/>
  <c r="U694" i="1" s="1"/>
  <c r="N710" i="1"/>
  <c r="L727" i="1"/>
  <c r="O727" i="1" s="1"/>
  <c r="L690" i="1"/>
  <c r="L708" i="1"/>
  <c r="L723" i="1"/>
  <c r="L755" i="1"/>
  <c r="O203" i="1" l="1"/>
  <c r="O189" i="1"/>
  <c r="N707" i="1"/>
  <c r="P269" i="1"/>
  <c r="O214" i="1"/>
  <c r="T232" i="1"/>
  <c r="O269" i="1"/>
  <c r="O74" i="1"/>
  <c r="T214" i="1"/>
  <c r="O322" i="1"/>
  <c r="Q19" i="1"/>
  <c r="T72" i="1"/>
  <c r="O222" i="1"/>
  <c r="P65" i="1"/>
  <c r="N411" i="1"/>
  <c r="L186" i="1"/>
  <c r="M640" i="1"/>
  <c r="P640" i="1" s="1"/>
  <c r="T753" i="1"/>
  <c r="N186" i="1"/>
  <c r="P334" i="1"/>
  <c r="N640" i="1"/>
  <c r="O159" i="1"/>
  <c r="O120" i="1"/>
  <c r="N614" i="1"/>
  <c r="U753" i="1"/>
  <c r="O600" i="1"/>
  <c r="P159" i="1"/>
  <c r="U72" i="1"/>
  <c r="P323" i="1"/>
  <c r="P413" i="1"/>
  <c r="P376" i="1"/>
  <c r="T267" i="1"/>
  <c r="N320" i="1"/>
  <c r="P642" i="1"/>
  <c r="O142" i="1"/>
  <c r="N390" i="1"/>
  <c r="P142" i="1"/>
  <c r="O305" i="1"/>
  <c r="P555" i="1"/>
  <c r="J455" i="1"/>
  <c r="K455" i="1" s="1"/>
  <c r="L356" i="1"/>
  <c r="O538" i="1"/>
  <c r="O160" i="1"/>
  <c r="P75" i="1"/>
  <c r="P576" i="1"/>
  <c r="O75" i="1"/>
  <c r="L303" i="1"/>
  <c r="O555" i="1"/>
  <c r="O97" i="1"/>
  <c r="P187" i="1"/>
  <c r="O493" i="1"/>
  <c r="P599" i="1"/>
  <c r="T303" i="1"/>
  <c r="U614" i="1"/>
  <c r="N553" i="1"/>
  <c r="O267" i="1"/>
  <c r="P414" i="1"/>
  <c r="T373" i="1"/>
  <c r="T614" i="1"/>
  <c r="P358" i="1"/>
  <c r="O158" i="1"/>
  <c r="L266" i="1"/>
  <c r="U373" i="1"/>
  <c r="O285" i="1"/>
  <c r="P285" i="1"/>
  <c r="N139" i="1"/>
  <c r="L491" i="1"/>
  <c r="P140" i="1"/>
  <c r="P175" i="1"/>
  <c r="P120" i="1"/>
  <c r="U173" i="1"/>
  <c r="N157" i="1"/>
  <c r="K698" i="1"/>
  <c r="P603" i="1"/>
  <c r="P322" i="1"/>
  <c r="P61" i="1"/>
  <c r="U139" i="1"/>
  <c r="O535" i="1"/>
  <c r="P189" i="1"/>
  <c r="P493" i="1"/>
  <c r="P534" i="1"/>
  <c r="S59" i="1"/>
  <c r="N532" i="1"/>
  <c r="O534" i="1"/>
  <c r="P393" i="1"/>
  <c r="O140" i="1"/>
  <c r="P119" i="1"/>
  <c r="T640" i="1"/>
  <c r="O414" i="1"/>
  <c r="P158" i="1"/>
  <c r="O323" i="1"/>
  <c r="O556" i="1"/>
  <c r="P374" i="1"/>
  <c r="P304" i="1"/>
  <c r="M117" i="1"/>
  <c r="U688" i="1"/>
  <c r="N721" i="1"/>
  <c r="T139" i="1"/>
  <c r="N574" i="1"/>
  <c r="M94" i="1"/>
  <c r="P535" i="1"/>
  <c r="O559" i="1"/>
  <c r="O336" i="1"/>
  <c r="O119" i="1"/>
  <c r="O95" i="1"/>
  <c r="T94" i="1"/>
  <c r="U94" i="1"/>
  <c r="N373" i="1"/>
  <c r="L44" i="1"/>
  <c r="P412" i="1"/>
  <c r="P517" i="1"/>
  <c r="P559" i="1"/>
  <c r="O603" i="1"/>
  <c r="P268" i="1"/>
  <c r="O192" i="1"/>
  <c r="P538" i="1"/>
  <c r="N20" i="1"/>
  <c r="L333" i="1"/>
  <c r="K82" i="1"/>
  <c r="P62" i="1"/>
  <c r="U640" i="1"/>
  <c r="S24" i="1"/>
  <c r="P335" i="1"/>
  <c r="T688" i="1"/>
  <c r="O517" i="1"/>
  <c r="P192" i="1"/>
  <c r="O46" i="1"/>
  <c r="K70" i="1"/>
  <c r="U721" i="1"/>
  <c r="O326" i="1"/>
  <c r="P97" i="1"/>
  <c r="T411" i="1"/>
  <c r="R59" i="1"/>
  <c r="U59" i="1" s="1"/>
  <c r="O576" i="1"/>
  <c r="N117" i="1"/>
  <c r="P598" i="1"/>
  <c r="O575" i="1"/>
  <c r="T721" i="1"/>
  <c r="P339" i="1"/>
  <c r="O339" i="1"/>
  <c r="P326" i="1"/>
  <c r="M44" i="1"/>
  <c r="P375" i="1"/>
  <c r="P556" i="1"/>
  <c r="M59" i="1"/>
  <c r="O412" i="1"/>
  <c r="U491" i="1"/>
  <c r="P267" i="1"/>
  <c r="U303" i="1"/>
  <c r="O598" i="1"/>
  <c r="P321" i="1"/>
  <c r="N688" i="1"/>
  <c r="N597" i="1"/>
  <c r="K687" i="1"/>
  <c r="T491" i="1"/>
  <c r="O187" i="1"/>
  <c r="N266" i="1"/>
  <c r="O176" i="1"/>
  <c r="N753" i="1"/>
  <c r="N173" i="1"/>
  <c r="R390" i="1"/>
  <c r="U390" i="1" s="1"/>
  <c r="O374" i="1"/>
  <c r="O577" i="1"/>
  <c r="M597" i="1"/>
  <c r="Q59" i="1"/>
  <c r="T59" i="1" s="1"/>
  <c r="M614" i="1"/>
  <c r="P614" i="1" s="1"/>
  <c r="O175" i="1"/>
  <c r="O306" i="1"/>
  <c r="N511" i="1"/>
  <c r="N356" i="1"/>
  <c r="P176" i="1"/>
  <c r="P45" i="1"/>
  <c r="P575" i="1"/>
  <c r="O358" i="1"/>
  <c r="M333" i="1"/>
  <c r="Q390" i="1"/>
  <c r="T390" i="1" s="1"/>
  <c r="L640" i="1"/>
  <c r="O640" i="1" s="1"/>
  <c r="M411" i="1"/>
  <c r="O23" i="1"/>
  <c r="M266" i="1"/>
  <c r="O123" i="1"/>
  <c r="U117" i="1"/>
  <c r="J456" i="1"/>
  <c r="K456" i="1" s="1"/>
  <c r="P533" i="1"/>
  <c r="P141" i="1"/>
  <c r="N282" i="1"/>
  <c r="O268" i="1"/>
  <c r="R44" i="1"/>
  <c r="U44" i="1" s="1"/>
  <c r="U707" i="1"/>
  <c r="O492" i="1"/>
  <c r="M373" i="1"/>
  <c r="P123" i="1"/>
  <c r="P160" i="1"/>
  <c r="T266" i="1"/>
  <c r="U411" i="1"/>
  <c r="P577" i="1"/>
  <c r="O304" i="1"/>
  <c r="M574" i="1"/>
  <c r="O513" i="1"/>
  <c r="O359" i="1"/>
  <c r="T117" i="1"/>
  <c r="O179" i="1"/>
  <c r="P513" i="1"/>
  <c r="M320" i="1"/>
  <c r="O393" i="1"/>
  <c r="O188" i="1"/>
  <c r="U266" i="1"/>
  <c r="P118" i="1"/>
  <c r="P47" i="1"/>
  <c r="O376" i="1"/>
  <c r="L574" i="1"/>
  <c r="M491" i="1"/>
  <c r="Q707" i="1"/>
  <c r="T707" i="1" s="1"/>
  <c r="O284" i="1"/>
  <c r="N303" i="1"/>
  <c r="P359" i="1"/>
  <c r="P46" i="1"/>
  <c r="U709" i="1"/>
  <c r="P494" i="1"/>
  <c r="S20" i="1"/>
  <c r="S157" i="1"/>
  <c r="U157" i="1" s="1"/>
  <c r="P26" i="1"/>
  <c r="P96" i="1"/>
  <c r="M532" i="1"/>
  <c r="P53" i="1"/>
  <c r="O47" i="1"/>
  <c r="P179" i="1"/>
  <c r="O615" i="1"/>
  <c r="L614" i="1"/>
  <c r="O614" i="1" s="1"/>
  <c r="S19" i="1"/>
  <c r="M390" i="1"/>
  <c r="P391" i="1"/>
  <c r="P60" i="1"/>
  <c r="N59" i="1"/>
  <c r="O65" i="1"/>
  <c r="L24" i="1"/>
  <c r="O25" i="1"/>
  <c r="L688" i="1"/>
  <c r="O688" i="1" s="1"/>
  <c r="O690" i="1"/>
  <c r="M553" i="1"/>
  <c r="P554" i="1"/>
  <c r="O554" i="1"/>
  <c r="L553" i="1"/>
  <c r="N491" i="1"/>
  <c r="P492" i="1"/>
  <c r="O375" i="1"/>
  <c r="L373" i="1"/>
  <c r="P284" i="1"/>
  <c r="O141" i="1"/>
  <c r="L139" i="1"/>
  <c r="M157" i="1"/>
  <c r="P283" i="1"/>
  <c r="M282" i="1"/>
  <c r="K624" i="1"/>
  <c r="P73" i="1"/>
  <c r="N72" i="1"/>
  <c r="L19" i="1"/>
  <c r="L21" i="1"/>
  <c r="O22" i="1"/>
  <c r="P174" i="1"/>
  <c r="M173" i="1"/>
  <c r="P95" i="1"/>
  <c r="N94" i="1"/>
  <c r="P23" i="1"/>
  <c r="M20" i="1"/>
  <c r="T159" i="1"/>
  <c r="Q157" i="1"/>
  <c r="P708" i="1"/>
  <c r="M707" i="1"/>
  <c r="P707" i="1" s="1"/>
  <c r="J421" i="1"/>
  <c r="K430" i="1"/>
  <c r="O494" i="1"/>
  <c r="L173" i="1"/>
  <c r="M186" i="1"/>
  <c r="P188" i="1"/>
  <c r="P305" i="1"/>
  <c r="M303" i="1"/>
  <c r="T173" i="1"/>
  <c r="O62" i="1"/>
  <c r="Q20" i="1"/>
  <c r="T46" i="1"/>
  <c r="T25" i="1"/>
  <c r="Q24" i="1"/>
  <c r="T24" i="1" s="1"/>
  <c r="N44" i="1"/>
  <c r="O45" i="1"/>
  <c r="L157" i="1"/>
  <c r="M72" i="1"/>
  <c r="P74" i="1"/>
  <c r="P723" i="1"/>
  <c r="M721" i="1"/>
  <c r="P721" i="1" s="1"/>
  <c r="O321" i="1"/>
  <c r="L320" i="1"/>
  <c r="O283" i="1"/>
  <c r="L282" i="1"/>
  <c r="O599" i="1"/>
  <c r="L597" i="1"/>
  <c r="O391" i="1"/>
  <c r="L390" i="1"/>
  <c r="L117" i="1"/>
  <c r="O118" i="1"/>
  <c r="L753" i="1"/>
  <c r="O753" i="1" s="1"/>
  <c r="O755" i="1"/>
  <c r="P755" i="1"/>
  <c r="M753" i="1"/>
  <c r="P753" i="1" s="1"/>
  <c r="P690" i="1"/>
  <c r="M688" i="1"/>
  <c r="P688" i="1" s="1"/>
  <c r="P357" i="1"/>
  <c r="M356" i="1"/>
  <c r="P336" i="1"/>
  <c r="O533" i="1"/>
  <c r="L532" i="1"/>
  <c r="O174" i="1"/>
  <c r="P306" i="1"/>
  <c r="K630" i="1"/>
  <c r="O96" i="1"/>
  <c r="L94" i="1"/>
  <c r="R24" i="1"/>
  <c r="U24" i="1" s="1"/>
  <c r="U25" i="1"/>
  <c r="O28" i="1"/>
  <c r="O26" i="1"/>
  <c r="L20" i="1"/>
  <c r="O357" i="1"/>
  <c r="O73" i="1"/>
  <c r="L72" i="1"/>
  <c r="O60" i="1"/>
  <c r="L59" i="1"/>
  <c r="I71" i="1"/>
  <c r="K71" i="1" s="1"/>
  <c r="K83" i="1"/>
  <c r="O708" i="1"/>
  <c r="L707" i="1"/>
  <c r="O707" i="1" s="1"/>
  <c r="P512" i="1"/>
  <c r="M511" i="1"/>
  <c r="O413" i="1"/>
  <c r="L411" i="1"/>
  <c r="L721" i="1"/>
  <c r="O721" i="1" s="1"/>
  <c r="O723" i="1"/>
  <c r="P600" i="1"/>
  <c r="N333" i="1"/>
  <c r="O334" i="1"/>
  <c r="L511" i="1"/>
  <c r="O512" i="1"/>
  <c r="U159" i="1"/>
  <c r="R20" i="1"/>
  <c r="K372" i="1"/>
  <c r="O335" i="1"/>
  <c r="K613" i="1"/>
  <c r="O53" i="1"/>
  <c r="M24" i="1"/>
  <c r="P25" i="1"/>
  <c r="P22" i="1"/>
  <c r="M19" i="1"/>
  <c r="M21" i="1"/>
  <c r="M139" i="1"/>
  <c r="N24" i="1"/>
  <c r="N19" i="1"/>
  <c r="N21" i="1"/>
  <c r="T19" i="1" l="1"/>
  <c r="O411" i="1"/>
  <c r="P411" i="1"/>
  <c r="P139" i="1"/>
  <c r="P186" i="1"/>
  <c r="O186" i="1"/>
  <c r="O390" i="1"/>
  <c r="P390" i="1"/>
  <c r="J454" i="1"/>
  <c r="K454" i="1" s="1"/>
  <c r="O320" i="1"/>
  <c r="P320" i="1"/>
  <c r="O266" i="1"/>
  <c r="O356" i="1"/>
  <c r="O157" i="1"/>
  <c r="P157" i="1"/>
  <c r="O303" i="1"/>
  <c r="O139" i="1"/>
  <c r="P20" i="1"/>
  <c r="P553" i="1"/>
  <c r="P59" i="1"/>
  <c r="O553" i="1"/>
  <c r="P117" i="1"/>
  <c r="P532" i="1"/>
  <c r="O532" i="1"/>
  <c r="P94" i="1"/>
  <c r="P266" i="1"/>
  <c r="O491" i="1"/>
  <c r="O574" i="1"/>
  <c r="P574" i="1"/>
  <c r="O20" i="1"/>
  <c r="O117" i="1"/>
  <c r="P356" i="1"/>
  <c r="O597" i="1"/>
  <c r="N18" i="1"/>
  <c r="U19" i="1"/>
  <c r="O373" i="1"/>
  <c r="O59" i="1"/>
  <c r="P373" i="1"/>
  <c r="P597" i="1"/>
  <c r="O173" i="1"/>
  <c r="P173" i="1"/>
  <c r="T157" i="1"/>
  <c r="O511" i="1"/>
  <c r="T20" i="1"/>
  <c r="P511" i="1"/>
  <c r="P491" i="1"/>
  <c r="P333" i="1"/>
  <c r="P21" i="1"/>
  <c r="O94" i="1"/>
  <c r="P282" i="1"/>
  <c r="O282" i="1"/>
  <c r="S18" i="1"/>
  <c r="O72" i="1"/>
  <c r="P303" i="1"/>
  <c r="U20" i="1"/>
  <c r="Q18" i="1"/>
  <c r="O44" i="1"/>
  <c r="P44" i="1"/>
  <c r="O333" i="1"/>
  <c r="R18" i="1"/>
  <c r="P72" i="1"/>
  <c r="P19" i="1"/>
  <c r="M18" i="1"/>
  <c r="K421" i="1"/>
  <c r="J410" i="1"/>
  <c r="K410" i="1" s="1"/>
  <c r="O21" i="1"/>
  <c r="O24" i="1"/>
  <c r="P24" i="1"/>
  <c r="L18" i="1"/>
  <c r="O19" i="1"/>
  <c r="P18" i="1" l="1"/>
  <c r="O18" i="1"/>
  <c r="T18" i="1"/>
  <c r="U18" i="1"/>
</calcChain>
</file>

<file path=xl/sharedStrings.xml><?xml version="1.0" encoding="utf-8"?>
<sst xmlns="http://schemas.openxmlformats.org/spreadsheetml/2006/main" count="1358" uniqueCount="308">
  <si>
    <t>รายละเอียดแผนงาน/โครงการ ผลผลิต/กิจกรรม ปีงบประมาณ พ.ศ. 2567</t>
  </si>
  <si>
    <t>สำนักงานการปฏิรูปที่ดินเพื่อเกษตรกรรม</t>
  </si>
  <si>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</si>
  <si>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</si>
  <si>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</si>
  <si>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</si>
  <si>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</si>
  <si>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</si>
  <si>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</si>
  <si>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</si>
  <si>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</si>
  <si>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</si>
  <si>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</si>
  <si>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</si>
  <si>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</si>
  <si>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ร้อยละ
(ได้รับ)</t>
  </si>
  <si>
    <t>ร้อยละ
(จัดสรร)</t>
  </si>
  <si>
    <t>รวม งบประมาณ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</si>
  <si>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</si>
  <si>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</si>
  <si>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</si>
  <si>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</si>
  <si>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</si>
  <si>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>งบลงทุน</t>
  </si>
  <si>
    <t>งบบุคลากร</t>
  </si>
  <si>
    <t>งบประมาณ ประจำปีงบประมาณ พ.ศ. 2566 ไปพลางก่อน</t>
  </si>
  <si>
    <t>แผนงานบุคลากรภาครัฐ</t>
  </si>
  <si>
    <t>รายการบุคลากรภาครัฐ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</si>
  <si>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</si>
  <si>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</si>
  <si>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</si>
  <si>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</si>
  <si>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</si>
  <si>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</si>
  <si>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</si>
  <si>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</si>
  <si>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- ส.ป.ก.ส่วนกลาง </t>
  </si>
  <si>
    <t xml:space="preserve">- ส.ป.ก.จังหวัด  </t>
  </si>
  <si>
    <t>ขั้นตอนการดำเนินงาน</t>
  </si>
  <si>
    <t xml:space="preserve"> - อบรมเกษตรกร  </t>
  </si>
  <si>
    <t xml:space="preserve"> - แปลงใหญ่ ปี 2567</t>
  </si>
  <si>
    <t xml:space="preserve"> - แปลงใหญ่ ปี 2566</t>
  </si>
  <si>
    <t xml:space="preserve"> - แปลงใหญ่ ปี 2565</t>
  </si>
  <si>
    <t xml:space="preserve"> - สนับสนุนปัจจัยการผลิต</t>
  </si>
  <si>
    <t>โครงการที่ 2 : โครงการพัฒนาเกษตรกรรมยั่งยืน</t>
  </si>
  <si>
    <t>กิจกรรมส่งเสริมและพัฒนาเกษตรทฤษฎีใหม่ในเขตปฏิรูปที่ดิน</t>
  </si>
  <si>
    <t>ไร่</t>
  </si>
  <si>
    <t>ขั้นที่ 1</t>
  </si>
  <si>
    <t>- พื้นที่ที่ได้รับการส่งเสริมเป็นเกษตรทฤษฎีใหม่</t>
  </si>
  <si>
    <t>- เกษตรกรได้รับการส่งเสริมองค์ความรู้เกี่ยวกับเกษตรทฤษฎีใหม่</t>
  </si>
  <si>
    <t>- สนับสนุนปัจจัยการผลิต</t>
  </si>
  <si>
    <t>โครงการที่ 3 : โครงการพัฒนาธุรกิจชุมชน</t>
  </si>
  <si>
    <t>กิจกรรมพัฒนาธุรกิจชุมชนในเขตปฏิรูปที่ดิน</t>
  </si>
  <si>
    <t xml:space="preserve"> - หลักสูตร การเสริมสร้างความเข้มแข็งและการบริหารจัดการธุรกิจ</t>
  </si>
  <si>
    <t>กลุ่ม</t>
  </si>
  <si>
    <t>- หลักสูตร การเพิ่มมูลค่าสินค้าและการพัฒนาช่องทางด้านการตลาด</t>
  </si>
  <si>
    <t>- หลักสูตร แนวทางการขับเคลื่อนการพัฒนาธุรกิจชุมชนสู่ความสำเร็จ</t>
  </si>
  <si>
    <t>(โดย สพท.)</t>
  </si>
  <si>
    <t>โครงการที่ 4 : โครงการส่งเสริมและพัฒนาสินค้าเกษตรชีวภาพ</t>
  </si>
  <si>
    <t>กิจกรรมส่งเสริมการแปรรูปสมุนไพรด้วยโรงอบพลังงานแสงอาทิตย์ต้นทุนต่ำในเขตปฏิรูปที่ดิน</t>
  </si>
  <si>
    <t>โรงอบ</t>
  </si>
  <si>
    <t>แห่ง</t>
  </si>
  <si>
    <t>อบรมเกษตรกร</t>
  </si>
  <si>
    <t>- การเตรียมการ (การจัดทำฐานข้อมูลสมุนไพรและแผนการผลิต ฯ)</t>
  </si>
  <si>
    <r>
      <rPr>
        <b/>
        <sz val="15"/>
        <color rgb="FF000000"/>
        <rFont val="Arial"/>
      </rPr>
      <t>- หลักสูตรที่ 1</t>
    </r>
    <r>
      <rPr>
        <b/>
        <sz val="15"/>
        <color rgb="FF000000"/>
        <rFont val="Arial"/>
      </rPr>
      <t xml:space="preserve"> การดูแลรักษาโรงอบ ฯ</t>
    </r>
  </si>
  <si>
    <r>
      <rPr>
        <b/>
        <sz val="15"/>
        <color rgb="FF000000"/>
        <rFont val="Arial"/>
      </rPr>
      <t>- หลักสูตรที่ 2</t>
    </r>
    <r>
      <rPr>
        <b/>
        <sz val="15"/>
        <color rgb="FF000000"/>
        <rFont val="Arial"/>
      </rPr>
      <t xml:space="preserve"> การแปรรูปสมุนไพรด้วยโรงอบ ฯ</t>
    </r>
  </si>
  <si>
    <t>- จัดทำโรงอบ (งบลงทุน)</t>
  </si>
  <si>
    <t>โครงการที่ 5 : โครงการยกระดับคุณภาพมาตรฐานสินค้าเกษตร</t>
  </si>
  <si>
    <t xml:space="preserve">กิจกรรมตรวจรับรองสินค้าเกษตรในเขตปฏิรูปที่ดินตามมาตรฐาน GAP </t>
  </si>
  <si>
    <t>- เกษตรกรยื่นขอรับการรับรองมาตรฐานสินค้า (จังหวัด)</t>
  </si>
  <si>
    <t>- เกษตรกรได้รับการตรวจรับรองมาตรฐาน GAP (ส่วนกลาง)</t>
  </si>
  <si>
    <t>- เกษตรกรได้การรับรองคงสถานะสินค้าตามมาตรฐาน GAP (ส่วนกลาง)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</si>
  <si>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</si>
  <si>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</si>
  <si>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 xml:space="preserve">กิจกรรมพัฒนาและส่งเสริมศิลปหัตถกรรม  </t>
  </si>
  <si>
    <t>- หลักสูตรศิลปาชีพเพื่อเกษตรในเขตปฏิรูปที่ดิน (ระยะสั้น) โดยจังหวัด</t>
  </si>
  <si>
    <t>- หลักสูตรศิลปาชีพเพื่อผู้สนใจ (ระยะยาว) โดย ศพส.</t>
  </si>
  <si>
    <t>กิจกรรมพัฒนาตามแนวทางพระราชดำริ</t>
  </si>
  <si>
    <t>(1) โครงการคลินิกเกษตรเคลื่อนที่ในพระราชานุเคราะห์ ฯ</t>
  </si>
  <si>
    <t>ครั้ง</t>
  </si>
  <si>
    <t>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</si>
  <si>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</si>
  <si>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</si>
  <si>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</si>
  <si>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</si>
  <si>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</si>
  <si>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>- ค่าบริหารโครงการ</t>
  </si>
  <si>
    <t>- ค่าจ้างเหมาบริการ</t>
  </si>
  <si>
    <t>- งบอบรม</t>
  </si>
  <si>
    <t>- ค่าวัสดุการเกษตร</t>
  </si>
  <si>
    <t>- จัดฝึกอบรม</t>
  </si>
  <si>
    <t>- โรงเรียนที่เข้าร่วมโครงการ</t>
  </si>
  <si>
    <t>- ต้นแบบ</t>
  </si>
  <si>
    <t>โรงเรียน/ราย</t>
  </si>
  <si>
    <t>(3) โครงการเพิ่มศักยภาพระบบงานเกษตรภายใต้แผนพัฒนาเด็ก ฯ</t>
  </si>
  <si>
    <t>- วัสดุการเกษตร</t>
  </si>
  <si>
    <t>- สนับสนุนวัสดุการเกษตร</t>
  </si>
  <si>
    <t>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</si>
  <si>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</si>
  <si>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</si>
  <si>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>- จ้างเหมาบริการ</t>
  </si>
  <si>
    <t>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</si>
  <si>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</si>
  <si>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</si>
  <si>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>- การฝึกอบรมการพัฒนาผลิตภัณฑ์และเชื่อมโยงการตลาด</t>
  </si>
  <si>
    <t>(5) โครงการอันเนื่องมาจากพระราชดำริพัฒนาความรู้ 12 โครงการ</t>
  </si>
  <si>
    <t>- ค่าเบี้ยเลี้ยง/ที่พัก/พาหนะ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</si>
  <si>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</si>
  <si>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</si>
  <si>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</si>
  <si>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>(5) โครงการ...</t>
  </si>
  <si>
    <t>- งบปัจจัยรายบุคคล</t>
  </si>
  <si>
    <t>- งบปัจจัยต้นแบบ/ศูนย์/กิจกรรม</t>
  </si>
  <si>
    <t>(6) โครงการ...</t>
  </si>
  <si>
    <t>โครงการที่ 2 : โครงการพัฒนาผู้แทนเกษตรกร</t>
  </si>
  <si>
    <t>กิจกรรมพัฒนาผู้แทนเกษตรกรในเขตปฏิรูปที่ดิน</t>
  </si>
  <si>
    <t xml:space="preserve"> - อบรม หลักสูตรการพัฒนาผู้แทนเกษตรกรในระดับพื้นที่ (โดย ส.ป.ก.จังหวัด)</t>
  </si>
  <si>
    <t xml:space="preserve"> - อบรม หลักสูตรการพัฒนาภาวะผู้นำแก่ผู้นำเกษตรกร (สพท.)</t>
  </si>
  <si>
    <t>แผนงานยุทธศาสตร์จัดการมลพิษและสิ่งแวดล้อม</t>
  </si>
  <si>
    <t>โครงการที่ 1 : โครงการเฝ้าระวังการเผาซากพืช วัชพืช และวัสดุทางการเกษตรในเขตปฏิรูปที่ดิน</t>
  </si>
  <si>
    <t>กิจกรรมเฝ้าระวังการเผาซากพืช วัชพืช และวัสดุทางการเกษตร ฯ</t>
  </si>
  <si>
    <t>- พื้นที่ที่ได้รับการส่งเสริมและเฝ้าระวังให้มีการลดการเผา</t>
  </si>
  <si>
    <t>- อบรมเกษตรกร</t>
  </si>
  <si>
    <r>
      <rPr>
        <b/>
        <sz val="15"/>
        <color rgb="FF000000"/>
        <rFont val="Arial"/>
      </rPr>
      <t xml:space="preserve">หลักสูตร </t>
    </r>
    <r>
      <rPr>
        <sz val="15"/>
        <color rgb="FF000000"/>
        <rFont val="Arial"/>
      </rPr>
      <t>แนวทางการเฝ้าระวังการเผาไหม้ฯ</t>
    </r>
  </si>
  <si>
    <r>
      <rPr>
        <sz val="15"/>
        <color rgb="FF000000"/>
        <rFont val="Arial"/>
      </rPr>
      <t xml:space="preserve">- เกษตรกรที่เข้าร่วมโครงการ </t>
    </r>
    <r>
      <rPr>
        <b/>
        <sz val="15"/>
        <color rgb="FF000000"/>
        <rFont val="Arial"/>
      </rPr>
      <t>ทั้งหมด</t>
    </r>
  </si>
  <si>
    <r>
      <rPr>
        <sz val="15"/>
        <color rgb="FF000000"/>
        <rFont val="Arial"/>
      </rPr>
      <t xml:space="preserve">- เกษตรกร </t>
    </r>
    <r>
      <rPr>
        <b/>
        <sz val="15"/>
        <color rgb="FF000000"/>
        <rFont val="Arial"/>
      </rPr>
      <t>เฉพาะ</t>
    </r>
    <r>
      <rPr>
        <sz val="15"/>
        <color rgb="FF000000"/>
        <rFont val="Arial"/>
      </rPr>
      <t xml:space="preserve"> ที่ได้รับการอบรม</t>
    </r>
  </si>
  <si>
    <r>
      <rPr>
        <b/>
        <sz val="15"/>
        <color theme="1"/>
        <rFont val="Arial"/>
      </rPr>
      <t>หลักสูตร</t>
    </r>
    <r>
      <rPr>
        <sz val="15"/>
        <color theme="1"/>
        <rFont val="Arial"/>
      </rPr>
      <t xml:space="preserve"> การบริหารจัดการเศษวัสดุเหลือใช้ฯ</t>
    </r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</si>
  <si>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theme="1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</si>
  <si>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theme="1"/>
        <rFont val="Arial"/>
      </rPr>
      <t>เฉพาะ</t>
    </r>
    <r>
      <rPr>
        <sz val="15"/>
        <color theme="1"/>
        <rFont val="Arial"/>
      </rPr>
      <t xml:space="preserve"> ที่ได้รับการอบรม</t>
    </r>
  </si>
  <si>
    <t>แผนงานยุทธศาสตร์พัฒนาและส่งเสริมเศรษฐกิจฐานราก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</si>
  <si>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</si>
  <si>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กิจกรรมพัฒนาเกษตรกรปราดเปรื่องในเขตปฏิรูปที่ดิน (Smart Farmer)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</si>
  <si>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</si>
  <si>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</si>
  <si>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</si>
  <si>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</si>
  <si>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</si>
  <si>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กิจกรรมศูนย์บริการประชาชน</t>
  </si>
  <si>
    <t>ให้บริการเกษตรกรด้านอื่น ๆ</t>
  </si>
  <si>
    <t>- ให้บริการเกษตรกร ณ ศูนย์บริการประชาชน</t>
  </si>
  <si>
    <t>- ออกศูนย์บริการเคลื่อนที่ในเขตปฏิรูปที่ดิน</t>
  </si>
  <si>
    <t>- ตำบลที่ออกให้บริการ</t>
  </si>
  <si>
    <t>ตำบล</t>
  </si>
  <si>
    <t>- จำนวนผู้มารับบริการ</t>
  </si>
  <si>
    <t>- ผู้รับบริการจากระบบออนไลน์</t>
  </si>
  <si>
    <t>- ผู้รับบริการจากการออกรับบริการร่วมกับหน่วยงานภายนอกอื่น ๆ</t>
  </si>
  <si>
    <t>ให้บริการรับคำร้องแสดงความประสงค์ขอออกโฉนดเพื่อการเกษตร</t>
  </si>
  <si>
    <t>- เจ้าหน้าที่ยังไม่ได้รับเรื่อง</t>
  </si>
  <si>
    <t>- อยู่ระหว่างตรวจสอบตามขั้นตอนออกโฉนด (ขั้นตอน 1-10)</t>
  </si>
  <si>
    <t>- แล้วเสร็จ</t>
  </si>
  <si>
    <t>กิจกรรมจัดที่ดิน</t>
  </si>
  <si>
    <t>จัดที่ดิน แปลงเกษตรกรรม</t>
  </si>
  <si>
    <t>- รังวัด</t>
  </si>
  <si>
    <t>- สอบสวนสิทธิ</t>
  </si>
  <si>
    <t>- มอบ ส.ป.ก. 4-01</t>
  </si>
  <si>
    <t>กิจกรรมแผนที่แปลงที่ดินตามมาตรฐาน RTK GNSS Network</t>
  </si>
  <si>
    <t>ดำเนินการโดย ส.ป.ก. จังหวัด (ข้อมูลจาก สผส.)</t>
  </si>
  <si>
    <t>ดำเนินการโดย สผส.</t>
  </si>
  <si>
    <t>กิจกรรมสำรวจและออกแบบโครงสร้างพื้นฐานในเขตปฏิรูปที่ดิน</t>
  </si>
  <si>
    <t>- สำรวจความเหมาะสมพื้นที่งานพัฒนาโครงสร้างพื้นฐาน</t>
  </si>
  <si>
    <t>- สำรวจวางผังแม่บทงานพัฒนาโครงสร้างพื้นฐาน</t>
  </si>
  <si>
    <t>- สำรวจออกแบบพัฒนาแหล่งน้ำ</t>
  </si>
  <si>
    <t>- สำรวจออกแบบระบบโครงข่ายถนน</t>
  </si>
  <si>
    <t>กม.</t>
  </si>
  <si>
    <t>โครงการตรวจสอบที่ดิน</t>
  </si>
  <si>
    <t xml:space="preserve"> - ส.ป.ก.ส่วนกลาง </t>
  </si>
  <si>
    <t xml:space="preserve"> - ส.ป.ก.จังหวัด  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</si>
  <si>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</si>
  <si>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</si>
  <si>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 ใช้ประโยชน์ด้วยตนเอง</t>
  </si>
  <si>
    <t>1.2 ไม่ใช้ประโยชน์ในที่ดิน (รวมไม่ทราบข้อมูล)</t>
  </si>
  <si>
    <t>1.3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</si>
  <si>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</si>
  <si>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</si>
  <si>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</si>
  <si>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</si>
  <si>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</si>
  <si>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</si>
  <si>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</si>
  <si>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</si>
  <si>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>- เสียชีวิต ทายาททำประโยชน์</t>
  </si>
  <si>
    <t>- เสียชีวิต บุคคลอื่นทำประโยชน์</t>
  </si>
  <si>
    <t>3.4 ไม่มาให้ข้อเท็จจริง</t>
  </si>
  <si>
    <t>3.5 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</si>
  <si>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</si>
  <si>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</si>
  <si>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</si>
  <si>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</si>
  <si>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</si>
  <si>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</si>
  <si>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</si>
  <si>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</si>
  <si>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</si>
  <si>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>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</si>
  <si>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</si>
  <si>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</t>
  </si>
  <si>
    <t>ด้วยภาพถ่ายทางอากาศและ/หรือภาพดาวเทียมรายละเอียดสูง</t>
  </si>
  <si>
    <t>- ใช้ที่ดินปกติ</t>
  </si>
  <si>
    <t>- ใช้ที่ดินผิดปกติ (จัดส่งข้อมูลให้ ส.ป.ก. จังหวัดตรวจสอบ)</t>
  </si>
  <si>
    <t>- ส่งข้อมูลกรณีใช้ที่ผิดวัตถุประสงค์ให้ ส.ป.ก.จังหวัด ตรวจสอบ</t>
  </si>
  <si>
    <t xml:space="preserve"> - ส.ป.ก.จังหวัด ตรวจสอบ ติดตามการใช้ประโยชน์ที่ดินรายแปลง</t>
  </si>
  <si>
    <t xml:space="preserve">  แปลงที่ใช้ที่ดินผิดวัตถุประสงค์ จากการตรวจพบของ สผส.</t>
  </si>
  <si>
    <t>- ใช้ที่ดินตามวัตถุประสงค์</t>
  </si>
  <si>
    <t>- ใช้ที่ดินผิดวัตถุประสงค์</t>
  </si>
  <si>
    <t>- อื่น ๆ</t>
  </si>
  <si>
    <t>กิจกรรมยกระดับรายได้เกษตรกรในเขตปฏิรูปที่ดินเพื่อลดความเหลื่อมล้ำ</t>
  </si>
  <si>
    <t>- จัดฝึกอบรมเกษตรกรตามหลักสูตร</t>
  </si>
  <si>
    <t>- หลักสูตร จัดทำ และสรุปทบทวนแผนชุมชน</t>
  </si>
  <si>
    <t>- หลักสูตร ส่งเสริมพัฒนาอาชีพและการตลาด</t>
  </si>
  <si>
    <t>- หลักสูตร การพัฒนาสถาบันเกษตรกรในพื้นที่ คทช.</t>
  </si>
  <si>
    <t>- หลักสูตร ศึกษาดูงานเพื่อพัฒนาศักยภาพคณะกรรมการและสมาชิกฯ</t>
  </si>
  <si>
    <t>- หลักสูตร พัฒนาผู้นำเกษตรกร และเชื่อมโยงภาคีเครือข่าย (สพท.)</t>
  </si>
  <si>
    <t>แผนงานบูรณาการบริหารจัดการทรัพยากรน้ำ</t>
  </si>
  <si>
    <t>โครงการที่ 1 : โครงการพัฒนาแหล่งน้ำเพื่อการเกษตรในเขตปฏิรูปที่ดิน</t>
  </si>
  <si>
    <t xml:space="preserve">กิจกรรมขุดสระน้ำพร้อมระบบส่งน้ำ </t>
  </si>
  <si>
    <t>- ความก้าวหน้า</t>
  </si>
  <si>
    <t xml:space="preserve">- ขุดสระน้ำพร้อมระบบส่งน้ำ </t>
  </si>
  <si>
    <t>กิจกรรมขุดสระเก็บน้ำสาธารณะ</t>
  </si>
  <si>
    <t>- ขุดสระเก็บน้ำสาธารณะ</t>
  </si>
  <si>
    <t>กิจกรรมพัฒนาแหล่งน้ำและระบบกระจายน้ำ</t>
  </si>
  <si>
    <t>- พัฒนาแหล่งน้ำและระบบกระจายน้ำ</t>
  </si>
  <si>
    <t>กิจกรรมฝายชะลอน้ำแบบชั่วคราวสำหรับการเพิ่มประสิทธิภาพของแหล่งน้ำ</t>
  </si>
  <si>
    <t>- อบรม</t>
  </si>
  <si>
    <t>- ก่อสร้างฝายชะลอน้ำแบบชั่วคราว</t>
  </si>
  <si>
    <t>โครงการส่งเสริมและพัฒนาสินค้าเกษตรชีวภาพ</t>
  </si>
  <si>
    <t>กิจกรรมส่งเสริมและขยายพันธุ์พืชในเขตปฏิรูปที่ดิน</t>
  </si>
  <si>
    <t>ดำเนินการโดย สพท.</t>
  </si>
  <si>
    <t>- สนับสนุนกล้าไม้</t>
  </si>
  <si>
    <t>- ผู้สนใจเข้าศึกษาดูงาน</t>
  </si>
  <si>
    <t>- ศูนย์ส่งเสริมและขยายพันธุ์ฯ จ.พระนครศรีอยุธยา</t>
  </si>
  <si>
    <t>- ศูนย์ส่งเสริมและขยายพันธุ์ฯ จ.ฉะเชิงเทรา</t>
  </si>
  <si>
    <t>โครงการบริหารจัดการที่ดินเอกชน</t>
  </si>
  <si>
    <t>กิจกรรมการจัดหาที่ดินเอกชน</t>
  </si>
  <si>
    <t>1. การจัดหาที่ดินเพื่อการจัดซื้อที่ดินเอกชน ปี 2566</t>
  </si>
  <si>
    <t>- จัดทำป้ายประชาสัมพันธ์เพื่อประกาศพื้นที่</t>
  </si>
  <si>
    <t>- ปิดป้ายประชาสัมพันธ์เพื่อประกาศพื้นที่</t>
  </si>
  <si>
    <t>- รับคำเสนอขาย/ตรวจสอบความถูกต้องหนังสือแสดงสิทธิในที่ดิน</t>
  </si>
  <si>
    <t>- ตรวจสอบสภาพพื้นที่ แปลงที่ดิน การทำประโยชน์/ต่อรองราคา</t>
  </si>
  <si>
    <t>- คณะอนุกรรมการจัดซื้อที่ดินพิจารณาความเหมาะสมของที่ดิน</t>
  </si>
  <si>
    <t>- นำเสนอ คปจ./อกก.คง.</t>
  </si>
  <si>
    <t>- อำนาจ คปจ. เห็นชอบและอนุมัติ กรณีราคาไม่เกิน 1.5 เท่า</t>
  </si>
  <si>
    <t>- อำนาจ อกก.คง. เห็นชอบและอนุมัติ กรณีราคาเกิน 1.5 เท่า</t>
  </si>
  <si>
    <t>2. จัดซื้อที่ดินงานต่อเนื่อง</t>
  </si>
  <si>
    <t>- นำเสนอ คปจ.</t>
  </si>
  <si>
    <t>- ประกาศเขตปฏิรูปที่ดิน</t>
  </si>
  <si>
    <t>- จดทะเบียนสิทธิและนิติกรรม และชำระมูลค่าที่ดิน</t>
  </si>
  <si>
    <t>กิจกรรมการจัดที่ดินเอกชน 7 กิจกรรม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</si>
  <si>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</si>
  <si>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</si>
  <si>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</t>
  </si>
  <si>
    <t>- การเช่าไปสู่การเช่าซื้อ</t>
  </si>
  <si>
    <t>- การเช่าซื้อไปสู่การเช่า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</si>
  <si>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</si>
  <si>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</si>
  <si>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</si>
  <si>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>- อยู่ระหว่างยื่นดำเนินการ</t>
  </si>
  <si>
    <t>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</si>
  <si>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</si>
  <si>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</si>
  <si>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</si>
  <si>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</si>
  <si>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</si>
  <si>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</si>
  <si>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</si>
  <si>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1,2,5,6 ข้อมูลจาก ALRO Land Online</t>
  </si>
  <si>
    <t>โครงการจัดที่ดินชุมชนในเขตปฏิรูปที่ดิน</t>
  </si>
  <si>
    <t>- คปจ.</t>
  </si>
  <si>
    <t>โครงการตรวจสอบมาตรฐานการสำรวจรังวัดและจัดทำระวางแผนที่</t>
  </si>
  <si>
    <t>ตามระเบียบ กมร. (ข้อมูล ณ 31 ส.ค. 67)</t>
  </si>
  <si>
    <t>แปลงที่ดินผ่านการตรวจทานและรับรองมาตรฐานการสำรวจรังวัด</t>
  </si>
  <si>
    <t>จัดทำระวางแผนที่ต้นฉบับมาตราส่วน 1:4,000</t>
  </si>
  <si>
    <t>โครงการส่งเสริมระบบวนเกษตรในเขตปฏิรูปที่ดิน</t>
  </si>
  <si>
    <t>- ขั้นที่ 1</t>
  </si>
  <si>
    <t>- พื้นที่ที่ได้รับการส่งเสริมเป็นวนเกษตร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</si>
  <si>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1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</si>
  <si>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1</t>
    </r>
  </si>
  <si>
    <t>- ขั้นที่ 2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</si>
  <si>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2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</si>
  <si>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2</t>
    </r>
  </si>
  <si>
    <t>- ขั้นที่ 3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</si>
  <si>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3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</si>
  <si>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3</t>
    </r>
  </si>
  <si>
    <r>
      <rPr>
        <sz val="15"/>
        <color rgb="FF000000"/>
        <rFont val="Arial"/>
      </rPr>
      <t>- เกษตรกรขั้นที่ 1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</si>
  <si>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 xml:space="preserve"> - เกษตรกรขั้นที่ 1 (เกษตรกรที่เข้าร่วมโครง</t>
    </r>
    <r>
      <rPr>
        <sz val="15"/>
        <color rgb="FF000000"/>
        <rFont val="Arial"/>
      </rPr>
      <t>การทั้ง</t>
    </r>
    <r>
      <rPr>
        <sz val="15"/>
        <color rgb="FF000000"/>
        <rFont val="Arial"/>
      </rPr>
      <t>หมด)</t>
    </r>
  </si>
  <si>
    <r>
      <rPr>
        <sz val="15"/>
        <color rgb="FF000000"/>
        <rFont val="Arial"/>
      </rPr>
      <t>- เกษตรกรขั้นที่ 2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</si>
  <si>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>- เกษตรกรขั้นที่ 2 (เกษตรกรที่เข้าร่วมโครงการ</t>
    </r>
    <r>
      <rPr>
        <sz val="15"/>
        <color rgb="FF000000"/>
        <rFont val="Arial"/>
      </rPr>
      <t>ทั้งหมด</t>
    </r>
    <r>
      <rPr>
        <sz val="15"/>
        <color rgb="FF000000"/>
        <rFont val="Arial"/>
      </rPr>
      <t>)</t>
    </r>
  </si>
  <si>
    <t>- ขั้นที่ 3 ครูต้นแบบวนเกษตรในเขตปฏิรูปที่ดิน</t>
  </si>
  <si>
    <t>โครงการส่งเสริมเกษตรอินทรีย์ในเขตปฏิรูปที่ดิน</t>
  </si>
  <si>
    <t>- อบรม หลักสูตรสำหรับพัฒนากลไกผู้นำเกษตรกรและเจ้าหน้าที่</t>
  </si>
  <si>
    <t>ด้านส่งเสริมเกษตรอินทรีย์ (โดย สพท.)</t>
  </si>
  <si>
    <t xml:space="preserve"> - อบรม หลักสูตรสำหรับส่งเสริมเกษตรอินทรีย์โดยใช้กระบวนการ</t>
  </si>
  <si>
    <t>โรงเรียนเกษตรกร (โดย ส.ป.ก.จังหวัด)</t>
  </si>
  <si>
    <t>- พื้นที่ในเขตปฏิรูปที่ดินได้รับการส่งเสริมเกษตรอินทรีย์</t>
  </si>
  <si>
    <t>โครงการก่อสร้างลานตากผลผลิตทางการเกษตรและ</t>
  </si>
  <si>
    <t>อาคารรวบรวมผลผลิตทางการเกษตร</t>
  </si>
  <si>
    <t>- ลานตากผลผลิตทางการเกษตร</t>
  </si>
  <si>
    <t>- อาคารรวบรวมผลผลิตทางการเกษตร</t>
  </si>
  <si>
    <t>การดำเนินงานกองทุนการปฏิรูปที่ดินเพื่อเกษตรกรรม (ใช้ข้อมูลจาก สบท.)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</si>
  <si>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</si>
  <si>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</si>
  <si>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</si>
  <si>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</si>
  <si>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หมายเหตุ :</t>
  </si>
  <si>
    <t>ข้อมูล ณ 30 กันยายน 2567</t>
  </si>
  <si>
    <t>[ข้อมูลจากสำนักจัดการปฏิรูปที่ดิน]</t>
  </si>
  <si>
    <t>- มอบ ส.ป.ก. 4-01 ช</t>
  </si>
  <si>
    <t>- จัดทำสัญญาเข้าทำประโยชน์ (ส.ป.ก. 4-118) และ</t>
  </si>
  <si>
    <t>หนังสืออนุญาตเข้าทำประโยชน์ (ส.ป.ก. 4-31)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</si>
</sst>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??_-;_-@"/>
    <numFmt numFmtId="165" formatCode="_-* #,##0.00_-;\-* #,##0.00_-;_-* &quot;-&quot;??_-;_-@"/>
    <numFmt numFmtId="166" formatCode="_-* #,##0_-;\-* #,##0_-;_-* &quot;-&quot;_-;_-@"/>
    <numFmt numFmtId="167" formatCode="_(* #,##0_);_(* \(#,##0\);_(* &quot;-&quot;??_);_(@_)"/>
    <numFmt numFmtId="168" formatCode="_-* #,##0.0_-;\-* #,##0.0_-;_-* &quot;-&quot;_-;_-@"/>
    <numFmt numFmtId="169" formatCode="_-* #,##0.00_-;\-* #,##0.00_-;_-* &quot;-&quot;????_-;_-@"/>
  </numFmts>
  <fonts count="39" x14ac:knownFonts="1">
    <font>
      <sz val="10"/>
      <color rgb="FF000000"/>
      <name val="Arial"/>
      <scheme val="minor"/>
    </font>
    <font>
      <b/>
      <sz val="15"/>
      <color rgb="FF000000"/>
      <name val="Arial"/>
    </font>
    <font>
      <b/>
      <sz val="15"/>
      <color rgb="FFFFFFFF"/>
      <name val="Arial"/>
    </font>
    <font>
      <sz val="10"/>
      <name val="Arial"/>
    </font>
    <font>
      <b/>
      <sz val="15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u/>
      <sz val="15"/>
      <color rgb="FF000000"/>
      <name val="Arial"/>
    </font>
    <font>
      <sz val="15"/>
      <color rgb="FF000000"/>
      <name val="Arial"/>
    </font>
    <font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sz val="10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</font>
    <font>
      <b/>
      <u/>
      <sz val="15"/>
      <color rgb="FF000000"/>
      <name val="Arial"/>
    </font>
    <font>
      <i/>
      <sz val="13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  <scheme val="minor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i/>
      <sz val="15"/>
      <color rgb="FF000000"/>
      <name val="Arial"/>
    </font>
    <font>
      <i/>
      <sz val="13"/>
      <color theme="1"/>
      <name val="Arial"/>
    </font>
    <font>
      <sz val="10"/>
      <color rgb="FF000000"/>
      <name val="Arial"/>
      <family val="2"/>
    </font>
    <font>
      <sz val="15"/>
      <color rgb="FF000000"/>
      <name val="Arial"/>
      <family val="2"/>
    </font>
    <font>
      <sz val="10"/>
      <color rgb="FF00000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38761D"/>
        <bgColor rgb="FF38761D"/>
      </patternFill>
    </fill>
    <fill>
      <patternFill patternType="solid">
        <fgColor rgb="FFBF9000"/>
        <bgColor rgb="FFBF9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99999"/>
        <bgColor rgb="FF999999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CE4D6"/>
        <bgColor rgb="FFFCE4D6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39">
    <xf numFmtId="0" fontId="0" fillId="0" borderId="0" xfId="0"/>
    <xf numFmtId="165" fontId="4" fillId="3" borderId="14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 wrapText="1"/>
    </xf>
    <xf numFmtId="165" fontId="4" fillId="6" borderId="12" xfId="0" applyNumberFormat="1" applyFont="1" applyFill="1" applyBorder="1" applyAlignment="1">
      <alignment horizontal="center" vertical="center" wrapText="1"/>
    </xf>
    <xf numFmtId="165" fontId="4" fillId="8" borderId="12" xfId="0" applyNumberFormat="1" applyFont="1" applyFill="1" applyBorder="1" applyAlignment="1">
      <alignment horizontal="center" vertical="center" wrapText="1"/>
    </xf>
    <xf numFmtId="165" fontId="4" fillId="7" borderId="12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/>
    <xf numFmtId="0" fontId="5" fillId="9" borderId="12" xfId="0" applyFont="1" applyFill="1" applyBorder="1"/>
    <xf numFmtId="166" fontId="5" fillId="9" borderId="12" xfId="0" applyNumberFormat="1" applyFont="1" applyFill="1" applyBorder="1"/>
    <xf numFmtId="165" fontId="5" fillId="9" borderId="12" xfId="0" applyNumberFormat="1" applyFont="1" applyFill="1" applyBorder="1"/>
    <xf numFmtId="164" fontId="5" fillId="9" borderId="12" xfId="0" applyNumberFormat="1" applyFont="1" applyFill="1" applyBorder="1"/>
    <xf numFmtId="0" fontId="5" fillId="9" borderId="15" xfId="0" applyFont="1" applyFill="1" applyBorder="1"/>
    <xf numFmtId="0" fontId="5" fillId="9" borderId="16" xfId="0" applyFont="1" applyFill="1" applyBorder="1"/>
    <xf numFmtId="0" fontId="5" fillId="9" borderId="17" xfId="0" applyFont="1" applyFill="1" applyBorder="1"/>
    <xf numFmtId="166" fontId="5" fillId="9" borderId="17" xfId="0" applyNumberFormat="1" applyFont="1" applyFill="1" applyBorder="1"/>
    <xf numFmtId="165" fontId="5" fillId="9" borderId="17" xfId="0" applyNumberFormat="1" applyFont="1" applyFill="1" applyBorder="1"/>
    <xf numFmtId="164" fontId="5" fillId="9" borderId="17" xfId="0" applyNumberFormat="1" applyFont="1" applyFill="1" applyBorder="1"/>
    <xf numFmtId="0" fontId="5" fillId="9" borderId="11" xfId="0" applyFont="1" applyFill="1" applyBorder="1"/>
    <xf numFmtId="0" fontId="6" fillId="10" borderId="12" xfId="0" applyFont="1" applyFill="1" applyBorder="1"/>
    <xf numFmtId="166" fontId="6" fillId="10" borderId="12" xfId="0" applyNumberFormat="1" applyFont="1" applyFill="1" applyBorder="1"/>
    <xf numFmtId="165" fontId="6" fillId="10" borderId="12" xfId="0" applyNumberFormat="1" applyFont="1" applyFill="1" applyBorder="1"/>
    <xf numFmtId="164" fontId="6" fillId="10" borderId="12" xfId="0" applyNumberFormat="1" applyFont="1" applyFill="1" applyBorder="1"/>
    <xf numFmtId="0" fontId="6" fillId="11" borderId="15" xfId="0" applyFont="1" applyFill="1" applyBorder="1"/>
    <xf numFmtId="0" fontId="6" fillId="11" borderId="16" xfId="0" applyFont="1" applyFill="1" applyBorder="1"/>
    <xf numFmtId="0" fontId="1" fillId="11" borderId="16" xfId="0" applyFont="1" applyFill="1" applyBorder="1" applyAlignment="1">
      <alignment horizontal="center"/>
    </xf>
    <xf numFmtId="0" fontId="7" fillId="11" borderId="16" xfId="0" applyFont="1" applyFill="1" applyBorder="1"/>
    <xf numFmtId="0" fontId="6" fillId="11" borderId="17" xfId="0" applyFont="1" applyFill="1" applyBorder="1"/>
    <xf numFmtId="0" fontId="1" fillId="11" borderId="17" xfId="0" applyFont="1" applyFill="1" applyBorder="1" applyAlignment="1">
      <alignment horizontal="center"/>
    </xf>
    <xf numFmtId="166" fontId="6" fillId="11" borderId="17" xfId="0" applyNumberFormat="1" applyFont="1" applyFill="1" applyBorder="1"/>
    <xf numFmtId="165" fontId="6" fillId="11" borderId="17" xfId="0" applyNumberFormat="1" applyFont="1" applyFill="1" applyBorder="1"/>
    <xf numFmtId="165" fontId="1" fillId="11" borderId="17" xfId="0" applyNumberFormat="1" applyFont="1" applyFill="1" applyBorder="1" applyAlignment="1">
      <alignment horizontal="right"/>
    </xf>
    <xf numFmtId="0" fontId="8" fillId="11" borderId="16" xfId="0" applyFont="1" applyFill="1" applyBorder="1"/>
    <xf numFmtId="0" fontId="8" fillId="11" borderId="17" xfId="0" applyFont="1" applyFill="1" applyBorder="1" applyAlignment="1">
      <alignment horizontal="center"/>
    </xf>
    <xf numFmtId="165" fontId="8" fillId="11" borderId="17" xfId="0" applyNumberFormat="1" applyFont="1" applyFill="1" applyBorder="1" applyAlignment="1">
      <alignment horizontal="right"/>
    </xf>
    <xf numFmtId="0" fontId="6" fillId="12" borderId="15" xfId="0" applyFont="1" applyFill="1" applyBorder="1"/>
    <xf numFmtId="0" fontId="6" fillId="12" borderId="16" xfId="0" applyFont="1" applyFill="1" applyBorder="1"/>
    <xf numFmtId="0" fontId="9" fillId="12" borderId="16" xfId="0" applyFont="1" applyFill="1" applyBorder="1"/>
    <xf numFmtId="0" fontId="6" fillId="12" borderId="17" xfId="0" applyFont="1" applyFill="1" applyBorder="1"/>
    <xf numFmtId="0" fontId="8" fillId="12" borderId="17" xfId="0" applyFont="1" applyFill="1" applyBorder="1" applyAlignment="1">
      <alignment horizontal="center"/>
    </xf>
    <xf numFmtId="166" fontId="6" fillId="12" borderId="17" xfId="0" applyNumberFormat="1" applyFont="1" applyFill="1" applyBorder="1"/>
    <xf numFmtId="165" fontId="6" fillId="12" borderId="17" xfId="0" applyNumberFormat="1" applyFont="1" applyFill="1" applyBorder="1"/>
    <xf numFmtId="165" fontId="8" fillId="12" borderId="17" xfId="0" applyNumberFormat="1" applyFont="1" applyFill="1" applyBorder="1" applyAlignment="1">
      <alignment horizontal="right"/>
    </xf>
    <xf numFmtId="0" fontId="8" fillId="12" borderId="16" xfId="0" applyFont="1" applyFill="1" applyBorder="1"/>
    <xf numFmtId="0" fontId="10" fillId="12" borderId="16" xfId="0" applyFont="1" applyFill="1" applyBorder="1"/>
    <xf numFmtId="165" fontId="8" fillId="12" borderId="17" xfId="0" applyNumberFormat="1" applyFont="1" applyFill="1" applyBorder="1"/>
    <xf numFmtId="0" fontId="6" fillId="12" borderId="10" xfId="0" applyFont="1" applyFill="1" applyBorder="1"/>
    <xf numFmtId="0" fontId="6" fillId="12" borderId="11" xfId="0" applyFont="1" applyFill="1" applyBorder="1"/>
    <xf numFmtId="0" fontId="8" fillId="12" borderId="11" xfId="0" applyFont="1" applyFill="1" applyBorder="1"/>
    <xf numFmtId="0" fontId="6" fillId="12" borderId="12" xfId="0" applyFont="1" applyFill="1" applyBorder="1"/>
    <xf numFmtId="0" fontId="8" fillId="12" borderId="12" xfId="0" applyFont="1" applyFill="1" applyBorder="1" applyAlignment="1">
      <alignment horizontal="center"/>
    </xf>
    <xf numFmtId="166" fontId="6" fillId="12" borderId="12" xfId="0" applyNumberFormat="1" applyFont="1" applyFill="1" applyBorder="1"/>
    <xf numFmtId="165" fontId="6" fillId="12" borderId="12" xfId="0" applyNumberFormat="1" applyFont="1" applyFill="1" applyBorder="1"/>
    <xf numFmtId="165" fontId="8" fillId="12" borderId="12" xfId="0" applyNumberFormat="1" applyFont="1" applyFill="1" applyBorder="1"/>
    <xf numFmtId="0" fontId="6" fillId="9" borderId="10" xfId="0" applyFont="1" applyFill="1" applyBorder="1"/>
    <xf numFmtId="0" fontId="6" fillId="9" borderId="12" xfId="0" applyFont="1" applyFill="1" applyBorder="1"/>
    <xf numFmtId="166" fontId="6" fillId="9" borderId="12" xfId="0" applyNumberFormat="1" applyFont="1" applyFill="1" applyBorder="1"/>
    <xf numFmtId="165" fontId="6" fillId="9" borderId="12" xfId="0" applyNumberFormat="1" applyFont="1" applyFill="1" applyBorder="1"/>
    <xf numFmtId="0" fontId="6" fillId="9" borderId="15" xfId="0" applyFont="1" applyFill="1" applyBorder="1"/>
    <xf numFmtId="0" fontId="6" fillId="9" borderId="16" xfId="0" applyFont="1" applyFill="1" applyBorder="1"/>
    <xf numFmtId="0" fontId="6" fillId="9" borderId="17" xfId="0" applyFont="1" applyFill="1" applyBorder="1"/>
    <xf numFmtId="166" fontId="6" fillId="9" borderId="17" xfId="0" applyNumberFormat="1" applyFont="1" applyFill="1" applyBorder="1"/>
    <xf numFmtId="165" fontId="6" fillId="9" borderId="17" xfId="0" applyNumberFormat="1" applyFont="1" applyFill="1" applyBorder="1"/>
    <xf numFmtId="0" fontId="6" fillId="9" borderId="11" xfId="0" applyFont="1" applyFill="1" applyBorder="1"/>
    <xf numFmtId="0" fontId="1" fillId="13" borderId="10" xfId="0" applyFont="1" applyFill="1" applyBorder="1"/>
    <xf numFmtId="0" fontId="6" fillId="13" borderId="11" xfId="0" applyFont="1" applyFill="1" applyBorder="1"/>
    <xf numFmtId="0" fontId="6" fillId="13" borderId="12" xfId="0" applyFont="1" applyFill="1" applyBorder="1"/>
    <xf numFmtId="166" fontId="6" fillId="13" borderId="12" xfId="0" applyNumberFormat="1" applyFont="1" applyFill="1" applyBorder="1"/>
    <xf numFmtId="165" fontId="6" fillId="13" borderId="12" xfId="0" applyNumberFormat="1" applyFont="1" applyFill="1" applyBorder="1"/>
    <xf numFmtId="0" fontId="1" fillId="14" borderId="10" xfId="0" applyFont="1" applyFill="1" applyBorder="1"/>
    <xf numFmtId="0" fontId="6" fillId="14" borderId="11" xfId="0" applyFont="1" applyFill="1" applyBorder="1"/>
    <xf numFmtId="166" fontId="6" fillId="14" borderId="11" xfId="0" applyNumberFormat="1" applyFont="1" applyFill="1" applyBorder="1"/>
    <xf numFmtId="165" fontId="6" fillId="14" borderId="11" xfId="0" applyNumberFormat="1" applyFont="1" applyFill="1" applyBorder="1"/>
    <xf numFmtId="165" fontId="6" fillId="14" borderId="12" xfId="0" applyNumberFormat="1" applyFont="1" applyFill="1" applyBorder="1"/>
    <xf numFmtId="0" fontId="6" fillId="15" borderId="15" xfId="0" applyFont="1" applyFill="1" applyBorder="1"/>
    <xf numFmtId="0" fontId="1" fillId="15" borderId="16" xfId="0" applyFont="1" applyFill="1" applyBorder="1"/>
    <xf numFmtId="0" fontId="6" fillId="15" borderId="16" xfId="0" applyFont="1" applyFill="1" applyBorder="1"/>
    <xf numFmtId="0" fontId="6" fillId="15" borderId="17" xfId="0" applyFont="1" applyFill="1" applyBorder="1"/>
    <xf numFmtId="166" fontId="6" fillId="15" borderId="17" xfId="0" applyNumberFormat="1" applyFont="1" applyFill="1" applyBorder="1"/>
    <xf numFmtId="165" fontId="6" fillId="15" borderId="17" xfId="0" applyNumberFormat="1" applyFont="1" applyFill="1" applyBorder="1"/>
    <xf numFmtId="0" fontId="6" fillId="16" borderId="15" xfId="0" applyFont="1" applyFill="1" applyBorder="1"/>
    <xf numFmtId="0" fontId="6" fillId="16" borderId="16" xfId="0" applyFont="1" applyFill="1" applyBorder="1"/>
    <xf numFmtId="0" fontId="1" fillId="16" borderId="16" xfId="0" applyFont="1" applyFill="1" applyBorder="1" applyAlignment="1">
      <alignment horizontal="center"/>
    </xf>
    <xf numFmtId="0" fontId="11" fillId="16" borderId="16" xfId="0" applyFont="1" applyFill="1" applyBorder="1"/>
    <xf numFmtId="0" fontId="6" fillId="16" borderId="17" xfId="0" applyFont="1" applyFill="1" applyBorder="1"/>
    <xf numFmtId="0" fontId="1" fillId="16" borderId="17" xfId="0" applyFont="1" applyFill="1" applyBorder="1" applyAlignment="1">
      <alignment horizontal="center"/>
    </xf>
    <xf numFmtId="166" fontId="6" fillId="16" borderId="17" xfId="0" applyNumberFormat="1" applyFont="1" applyFill="1" applyBorder="1"/>
    <xf numFmtId="165" fontId="6" fillId="16" borderId="17" xfId="0" applyNumberFormat="1" applyFont="1" applyFill="1" applyBorder="1"/>
    <xf numFmtId="165" fontId="1" fillId="16" borderId="17" xfId="0" applyNumberFormat="1" applyFont="1" applyFill="1" applyBorder="1" applyAlignment="1">
      <alignment horizontal="right"/>
    </xf>
    <xf numFmtId="0" fontId="8" fillId="16" borderId="16" xfId="0" applyFont="1" applyFill="1" applyBorder="1"/>
    <xf numFmtId="0" fontId="8" fillId="16" borderId="17" xfId="0" applyFont="1" applyFill="1" applyBorder="1" applyAlignment="1">
      <alignment horizontal="center"/>
    </xf>
    <xf numFmtId="165" fontId="8" fillId="16" borderId="17" xfId="0" applyNumberFormat="1" applyFont="1" applyFill="1" applyBorder="1" applyAlignment="1">
      <alignment horizontal="right"/>
    </xf>
    <xf numFmtId="0" fontId="8" fillId="12" borderId="15" xfId="0" applyFont="1" applyFill="1" applyBorder="1"/>
    <xf numFmtId="0" fontId="8" fillId="12" borderId="17" xfId="0" applyFont="1" applyFill="1" applyBorder="1"/>
    <xf numFmtId="166" fontId="8" fillId="12" borderId="17" xfId="0" applyNumberFormat="1" applyFont="1" applyFill="1" applyBorder="1"/>
    <xf numFmtId="0" fontId="8" fillId="12" borderId="10" xfId="0" applyFont="1" applyFill="1" applyBorder="1"/>
    <xf numFmtId="0" fontId="8" fillId="12" borderId="12" xfId="0" applyFont="1" applyFill="1" applyBorder="1"/>
    <xf numFmtId="166" fontId="8" fillId="12" borderId="12" xfId="0" applyNumberFormat="1" applyFont="1" applyFill="1" applyBorder="1"/>
    <xf numFmtId="0" fontId="6" fillId="17" borderId="11" xfId="0" applyFont="1" applyFill="1" applyBorder="1"/>
    <xf numFmtId="166" fontId="6" fillId="17" borderId="11" xfId="0" applyNumberFormat="1" applyFont="1" applyFill="1" applyBorder="1"/>
    <xf numFmtId="165" fontId="6" fillId="17" borderId="11" xfId="0" applyNumberFormat="1" applyFont="1" applyFill="1" applyBorder="1"/>
    <xf numFmtId="165" fontId="6" fillId="17" borderId="12" xfId="0" applyNumberFormat="1" applyFont="1" applyFill="1" applyBorder="1"/>
    <xf numFmtId="0" fontId="6" fillId="18" borderId="15" xfId="0" applyFont="1" applyFill="1" applyBorder="1"/>
    <xf numFmtId="0" fontId="6" fillId="18" borderId="17" xfId="0" applyFont="1" applyFill="1" applyBorder="1"/>
    <xf numFmtId="166" fontId="6" fillId="18" borderId="17" xfId="0" applyNumberFormat="1" applyFont="1" applyFill="1" applyBorder="1"/>
    <xf numFmtId="165" fontId="6" fillId="18" borderId="17" xfId="0" applyNumberFormat="1" applyFont="1" applyFill="1" applyBorder="1"/>
    <xf numFmtId="0" fontId="6" fillId="19" borderId="15" xfId="0" applyFont="1" applyFill="1" applyBorder="1"/>
    <xf numFmtId="0" fontId="1" fillId="19" borderId="16" xfId="0" applyFont="1" applyFill="1" applyBorder="1"/>
    <xf numFmtId="0" fontId="6" fillId="19" borderId="16" xfId="0" applyFont="1" applyFill="1" applyBorder="1"/>
    <xf numFmtId="0" fontId="6" fillId="19" borderId="17" xfId="0" applyFont="1" applyFill="1" applyBorder="1"/>
    <xf numFmtId="166" fontId="6" fillId="19" borderId="17" xfId="0" applyNumberFormat="1" applyFont="1" applyFill="1" applyBorder="1"/>
    <xf numFmtId="165" fontId="6" fillId="19" borderId="17" xfId="0" applyNumberFormat="1" applyFont="1" applyFill="1" applyBorder="1"/>
    <xf numFmtId="0" fontId="6" fillId="20" borderId="15" xfId="0" applyFont="1" applyFill="1" applyBorder="1"/>
    <xf numFmtId="0" fontId="6" fillId="20" borderId="16" xfId="0" applyFont="1" applyFill="1" applyBorder="1"/>
    <xf numFmtId="0" fontId="1" fillId="20" borderId="16" xfId="0" applyFont="1" applyFill="1" applyBorder="1" applyAlignment="1">
      <alignment horizontal="center"/>
    </xf>
    <xf numFmtId="0" fontId="12" fillId="20" borderId="16" xfId="0" applyFont="1" applyFill="1" applyBorder="1"/>
    <xf numFmtId="0" fontId="6" fillId="20" borderId="17" xfId="0" applyFont="1" applyFill="1" applyBorder="1"/>
    <xf numFmtId="0" fontId="1" fillId="20" borderId="17" xfId="0" applyFont="1" applyFill="1" applyBorder="1" applyAlignment="1">
      <alignment horizontal="center"/>
    </xf>
    <xf numFmtId="166" fontId="6" fillId="20" borderId="17" xfId="0" applyNumberFormat="1" applyFont="1" applyFill="1" applyBorder="1"/>
    <xf numFmtId="165" fontId="6" fillId="20" borderId="17" xfId="0" applyNumberFormat="1" applyFont="1" applyFill="1" applyBorder="1"/>
    <xf numFmtId="165" fontId="1" fillId="20" borderId="17" xfId="0" applyNumberFormat="1" applyFont="1" applyFill="1" applyBorder="1" applyAlignment="1">
      <alignment horizontal="right"/>
    </xf>
    <xf numFmtId="0" fontId="8" fillId="20" borderId="16" xfId="0" applyFont="1" applyFill="1" applyBorder="1"/>
    <xf numFmtId="0" fontId="8" fillId="20" borderId="17" xfId="0" applyFont="1" applyFill="1" applyBorder="1" applyAlignment="1">
      <alignment horizontal="center"/>
    </xf>
    <xf numFmtId="165" fontId="8" fillId="20" borderId="17" xfId="0" applyNumberFormat="1" applyFont="1" applyFill="1" applyBorder="1" applyAlignment="1">
      <alignment horizontal="right"/>
    </xf>
    <xf numFmtId="165" fontId="8" fillId="12" borderId="12" xfId="0" applyNumberFormat="1" applyFont="1" applyFill="1" applyBorder="1" applyAlignment="1">
      <alignment horizontal="right"/>
    </xf>
    <xf numFmtId="164" fontId="1" fillId="21" borderId="10" xfId="0" applyNumberFormat="1" applyFont="1" applyFill="1" applyBorder="1"/>
    <xf numFmtId="164" fontId="6" fillId="21" borderId="11" xfId="0" applyNumberFormat="1" applyFont="1" applyFill="1" applyBorder="1"/>
    <xf numFmtId="0" fontId="6" fillId="21" borderId="11" xfId="0" applyFont="1" applyFill="1" applyBorder="1"/>
    <xf numFmtId="166" fontId="6" fillId="21" borderId="11" xfId="0" applyNumberFormat="1" applyFont="1" applyFill="1" applyBorder="1"/>
    <xf numFmtId="165" fontId="6" fillId="21" borderId="11" xfId="0" applyNumberFormat="1" applyFont="1" applyFill="1" applyBorder="1"/>
    <xf numFmtId="165" fontId="6" fillId="21" borderId="12" xfId="0" applyNumberFormat="1" applyFont="1" applyFill="1" applyBorder="1"/>
    <xf numFmtId="164" fontId="1" fillId="22" borderId="15" xfId="0" applyNumberFormat="1" applyFont="1" applyFill="1" applyBorder="1"/>
    <xf numFmtId="0" fontId="6" fillId="22" borderId="16" xfId="0" applyFont="1" applyFill="1" applyBorder="1"/>
    <xf numFmtId="164" fontId="6" fillId="22" borderId="16" xfId="0" applyNumberFormat="1" applyFont="1" applyFill="1" applyBorder="1"/>
    <xf numFmtId="0" fontId="6" fillId="22" borderId="17" xfId="0" applyFont="1" applyFill="1" applyBorder="1"/>
    <xf numFmtId="166" fontId="6" fillId="22" borderId="17" xfId="0" applyNumberFormat="1" applyFont="1" applyFill="1" applyBorder="1"/>
    <xf numFmtId="165" fontId="6" fillId="22" borderId="17" xfId="0" applyNumberFormat="1" applyFont="1" applyFill="1" applyBorder="1"/>
    <xf numFmtId="167" fontId="6" fillId="11" borderId="15" xfId="0" applyNumberFormat="1" applyFont="1" applyFill="1" applyBorder="1"/>
    <xf numFmtId="0" fontId="1" fillId="11" borderId="16" xfId="0" applyFont="1" applyFill="1" applyBorder="1"/>
    <xf numFmtId="164" fontId="6" fillId="11" borderId="16" xfId="0" applyNumberFormat="1" applyFont="1" applyFill="1" applyBorder="1"/>
    <xf numFmtId="0" fontId="1" fillId="11" borderId="17" xfId="0" applyFont="1" applyFill="1" applyBorder="1" applyAlignment="1">
      <alignment horizontal="center" wrapText="1"/>
    </xf>
    <xf numFmtId="166" fontId="1" fillId="11" borderId="17" xfId="0" applyNumberFormat="1" applyFont="1" applyFill="1" applyBorder="1" applyAlignment="1">
      <alignment horizontal="right"/>
    </xf>
    <xf numFmtId="167" fontId="6" fillId="12" borderId="15" xfId="0" applyNumberFormat="1" applyFont="1" applyFill="1" applyBorder="1"/>
    <xf numFmtId="0" fontId="1" fillId="12" borderId="16" xfId="0" applyFont="1" applyFill="1" applyBorder="1" applyAlignment="1">
      <alignment horizontal="center"/>
    </xf>
    <xf numFmtId="0" fontId="13" fillId="12" borderId="16" xfId="0" applyFont="1" applyFill="1" applyBorder="1"/>
    <xf numFmtId="164" fontId="1" fillId="12" borderId="17" xfId="0" applyNumberFormat="1" applyFont="1" applyFill="1" applyBorder="1" applyAlignment="1">
      <alignment horizontal="center"/>
    </xf>
    <xf numFmtId="165" fontId="1" fillId="12" borderId="17" xfId="0" applyNumberFormat="1" applyFont="1" applyFill="1" applyBorder="1" applyAlignment="1">
      <alignment horizontal="right"/>
    </xf>
    <xf numFmtId="164" fontId="8" fillId="12" borderId="17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 wrapText="1"/>
    </xf>
    <xf numFmtId="166" fontId="6" fillId="0" borderId="17" xfId="0" applyNumberFormat="1" applyFont="1" applyBorder="1"/>
    <xf numFmtId="165" fontId="6" fillId="0" borderId="17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6" fillId="0" borderId="15" xfId="0" applyNumberFormat="1" applyFont="1" applyBorder="1"/>
    <xf numFmtId="164" fontId="6" fillId="0" borderId="16" xfId="0" applyNumberFormat="1" applyFont="1" applyBorder="1"/>
    <xf numFmtId="0" fontId="14" fillId="23" borderId="16" xfId="0" quotePrefix="1" applyFont="1" applyFill="1" applyBorder="1"/>
    <xf numFmtId="0" fontId="6" fillId="23" borderId="16" xfId="0" applyFont="1" applyFill="1" applyBorder="1"/>
    <xf numFmtId="0" fontId="6" fillId="23" borderId="17" xfId="0" applyFont="1" applyFill="1" applyBorder="1"/>
    <xf numFmtId="0" fontId="6" fillId="0" borderId="17" xfId="0" applyFont="1" applyBorder="1"/>
    <xf numFmtId="0" fontId="8" fillId="0" borderId="16" xfId="0" quotePrefix="1" applyFont="1" applyBorder="1"/>
    <xf numFmtId="0" fontId="6" fillId="0" borderId="16" xfId="0" applyFont="1" applyBorder="1"/>
    <xf numFmtId="0" fontId="1" fillId="0" borderId="17" xfId="0" applyFont="1" applyBorder="1" applyAlignment="1">
      <alignment horizontal="center" wrapText="1"/>
    </xf>
    <xf numFmtId="166" fontId="1" fillId="12" borderId="17" xfId="0" applyNumberFormat="1" applyFont="1" applyFill="1" applyBorder="1" applyAlignment="1">
      <alignment horizontal="right"/>
    </xf>
    <xf numFmtId="165" fontId="1" fillId="0" borderId="17" xfId="0" applyNumberFormat="1" applyFont="1" applyBorder="1" applyAlignment="1">
      <alignment horizontal="right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166" fontId="8" fillId="0" borderId="17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0" fontId="8" fillId="0" borderId="17" xfId="0" applyFont="1" applyBorder="1" applyAlignment="1">
      <alignment horizontal="center" wrapText="1"/>
    </xf>
    <xf numFmtId="164" fontId="6" fillId="22" borderId="17" xfId="0" applyNumberFormat="1" applyFont="1" applyFill="1" applyBorder="1"/>
    <xf numFmtId="164" fontId="1" fillId="11" borderId="17" xfId="0" applyNumberFormat="1" applyFont="1" applyFill="1" applyBorder="1" applyAlignment="1">
      <alignment horizontal="center" wrapText="1"/>
    </xf>
    <xf numFmtId="164" fontId="6" fillId="12" borderId="16" xfId="0" applyNumberFormat="1" applyFont="1" applyFill="1" applyBorder="1"/>
    <xf numFmtId="164" fontId="15" fillId="12" borderId="16" xfId="0" applyNumberFormat="1" applyFont="1" applyFill="1" applyBorder="1"/>
    <xf numFmtId="164" fontId="6" fillId="9" borderId="15" xfId="0" applyNumberFormat="1" applyFont="1" applyFill="1" applyBorder="1"/>
    <xf numFmtId="164" fontId="6" fillId="9" borderId="16" xfId="0" applyNumberFormat="1" applyFont="1" applyFill="1" applyBorder="1"/>
    <xf numFmtId="0" fontId="1" fillId="0" borderId="16" xfId="0" applyFont="1" applyBorder="1"/>
    <xf numFmtId="0" fontId="6" fillId="0" borderId="0" xfId="0" applyFont="1"/>
    <xf numFmtId="166" fontId="8" fillId="12" borderId="17" xfId="0" applyNumberFormat="1" applyFont="1" applyFill="1" applyBorder="1" applyAlignment="1">
      <alignment horizontal="right"/>
    </xf>
    <xf numFmtId="167" fontId="6" fillId="22" borderId="16" xfId="0" applyNumberFormat="1" applyFont="1" applyFill="1" applyBorder="1"/>
    <xf numFmtId="166" fontId="6" fillId="22" borderId="16" xfId="0" applyNumberFormat="1" applyFont="1" applyFill="1" applyBorder="1"/>
    <xf numFmtId="165" fontId="6" fillId="22" borderId="16" xfId="0" applyNumberFormat="1" applyFont="1" applyFill="1" applyBorder="1"/>
    <xf numFmtId="164" fontId="1" fillId="11" borderId="16" xfId="0" applyNumberFormat="1" applyFont="1" applyFill="1" applyBorder="1"/>
    <xf numFmtId="167" fontId="6" fillId="11" borderId="16" xfId="0" applyNumberFormat="1" applyFont="1" applyFill="1" applyBorder="1"/>
    <xf numFmtId="164" fontId="1" fillId="11" borderId="17" xfId="0" applyNumberFormat="1" applyFont="1" applyFill="1" applyBorder="1" applyAlignment="1">
      <alignment horizontal="center"/>
    </xf>
    <xf numFmtId="167" fontId="6" fillId="12" borderId="16" xfId="0" applyNumberFormat="1" applyFont="1" applyFill="1" applyBorder="1"/>
    <xf numFmtId="164" fontId="8" fillId="12" borderId="17" xfId="0" applyNumberFormat="1" applyFont="1" applyFill="1" applyBorder="1" applyAlignment="1">
      <alignment horizontal="center" wrapText="1"/>
    </xf>
    <xf numFmtId="164" fontId="6" fillId="0" borderId="17" xfId="0" applyNumberFormat="1" applyFont="1" applyBorder="1"/>
    <xf numFmtId="164" fontId="6" fillId="12" borderId="17" xfId="0" applyNumberFormat="1" applyFont="1" applyFill="1" applyBorder="1"/>
    <xf numFmtId="164" fontId="6" fillId="9" borderId="17" xfId="0" applyNumberFormat="1" applyFont="1" applyFill="1" applyBorder="1"/>
    <xf numFmtId="166" fontId="6" fillId="11" borderId="16" xfId="0" applyNumberFormat="1" applyFont="1" applyFill="1" applyBorder="1"/>
    <xf numFmtId="167" fontId="1" fillId="11" borderId="16" xfId="0" applyNumberFormat="1" applyFont="1" applyFill="1" applyBorder="1"/>
    <xf numFmtId="0" fontId="1" fillId="12" borderId="16" xfId="0" applyFont="1" applyFill="1" applyBorder="1"/>
    <xf numFmtId="167" fontId="6" fillId="12" borderId="10" xfId="0" applyNumberFormat="1" applyFont="1" applyFill="1" applyBorder="1"/>
    <xf numFmtId="164" fontId="8" fillId="0" borderId="12" xfId="0" applyNumberFormat="1" applyFont="1" applyBorder="1" applyAlignment="1">
      <alignment horizontal="center"/>
    </xf>
    <xf numFmtId="166" fontId="8" fillId="12" borderId="12" xfId="0" applyNumberFormat="1" applyFont="1" applyFill="1" applyBorder="1" applyAlignment="1">
      <alignment horizontal="right"/>
    </xf>
    <xf numFmtId="164" fontId="1" fillId="8" borderId="10" xfId="0" applyNumberFormat="1" applyFont="1" applyFill="1" applyBorder="1"/>
    <xf numFmtId="164" fontId="6" fillId="8" borderId="11" xfId="0" applyNumberFormat="1" applyFont="1" applyFill="1" applyBorder="1"/>
    <xf numFmtId="0" fontId="6" fillId="8" borderId="11" xfId="0" applyFont="1" applyFill="1" applyBorder="1"/>
    <xf numFmtId="166" fontId="6" fillId="8" borderId="11" xfId="0" applyNumberFormat="1" applyFont="1" applyFill="1" applyBorder="1"/>
    <xf numFmtId="165" fontId="6" fillId="8" borderId="11" xfId="0" applyNumberFormat="1" applyFont="1" applyFill="1" applyBorder="1"/>
    <xf numFmtId="165" fontId="6" fillId="8" borderId="12" xfId="0" applyNumberFormat="1" applyFont="1" applyFill="1" applyBorder="1"/>
    <xf numFmtId="164" fontId="1" fillId="24" borderId="15" xfId="0" applyNumberFormat="1" applyFont="1" applyFill="1" applyBorder="1"/>
    <xf numFmtId="164" fontId="6" fillId="24" borderId="16" xfId="0" applyNumberFormat="1" applyFont="1" applyFill="1" applyBorder="1"/>
    <xf numFmtId="0" fontId="6" fillId="24" borderId="16" xfId="0" applyFont="1" applyFill="1" applyBorder="1"/>
    <xf numFmtId="0" fontId="6" fillId="24" borderId="17" xfId="0" applyFont="1" applyFill="1" applyBorder="1"/>
    <xf numFmtId="166" fontId="6" fillId="24" borderId="17" xfId="0" applyNumberFormat="1" applyFont="1" applyFill="1" applyBorder="1"/>
    <xf numFmtId="165" fontId="6" fillId="24" borderId="17" xfId="0" applyNumberFormat="1" applyFont="1" applyFill="1" applyBorder="1"/>
    <xf numFmtId="164" fontId="6" fillId="23" borderId="15" xfId="0" applyNumberFormat="1" applyFont="1" applyFill="1" applyBorder="1"/>
    <xf numFmtId="0" fontId="1" fillId="23" borderId="16" xfId="0" applyFont="1" applyFill="1" applyBorder="1"/>
    <xf numFmtId="164" fontId="6" fillId="23" borderId="16" xfId="0" applyNumberFormat="1" applyFont="1" applyFill="1" applyBorder="1"/>
    <xf numFmtId="0" fontId="1" fillId="23" borderId="17" xfId="0" applyFont="1" applyFill="1" applyBorder="1" applyAlignment="1">
      <alignment horizontal="center" wrapText="1"/>
    </xf>
    <xf numFmtId="166" fontId="1" fillId="23" borderId="17" xfId="0" applyNumberFormat="1" applyFont="1" applyFill="1" applyBorder="1" applyAlignment="1">
      <alignment horizontal="right"/>
    </xf>
    <xf numFmtId="165" fontId="1" fillId="23" borderId="17" xfId="0" applyNumberFormat="1" applyFont="1" applyFill="1" applyBorder="1" applyAlignment="1">
      <alignment horizontal="right"/>
    </xf>
    <xf numFmtId="165" fontId="6" fillId="23" borderId="17" xfId="0" applyNumberFormat="1" applyFont="1" applyFill="1" applyBorder="1"/>
    <xf numFmtId="164" fontId="6" fillId="12" borderId="15" xfId="0" applyNumberFormat="1" applyFont="1" applyFill="1" applyBorder="1"/>
    <xf numFmtId="164" fontId="8" fillId="12" borderId="16" xfId="0" applyNumberFormat="1" applyFont="1" applyFill="1" applyBorder="1"/>
    <xf numFmtId="0" fontId="8" fillId="12" borderId="17" xfId="0" applyFont="1" applyFill="1" applyBorder="1" applyAlignment="1">
      <alignment horizontal="center" wrapText="1"/>
    </xf>
    <xf numFmtId="164" fontId="6" fillId="25" borderId="15" xfId="0" applyNumberFormat="1" applyFont="1" applyFill="1" applyBorder="1"/>
    <xf numFmtId="164" fontId="6" fillId="25" borderId="16" xfId="0" applyNumberFormat="1" applyFont="1" applyFill="1" applyBorder="1"/>
    <xf numFmtId="0" fontId="1" fillId="25" borderId="16" xfId="0" applyFont="1" applyFill="1" applyBorder="1"/>
    <xf numFmtId="0" fontId="6" fillId="25" borderId="16" xfId="0" applyFont="1" applyFill="1" applyBorder="1"/>
    <xf numFmtId="0" fontId="6" fillId="25" borderId="17" xfId="0" applyFont="1" applyFill="1" applyBorder="1"/>
    <xf numFmtId="0" fontId="1" fillId="25" borderId="17" xfId="0" applyFont="1" applyFill="1" applyBorder="1" applyAlignment="1">
      <alignment horizontal="center" wrapText="1"/>
    </xf>
    <xf numFmtId="166" fontId="1" fillId="25" borderId="17" xfId="0" applyNumberFormat="1" applyFont="1" applyFill="1" applyBorder="1" applyAlignment="1">
      <alignment horizontal="right"/>
    </xf>
    <xf numFmtId="165" fontId="1" fillId="25" borderId="17" xfId="0" applyNumberFormat="1" applyFont="1" applyFill="1" applyBorder="1" applyAlignment="1">
      <alignment horizontal="right"/>
    </xf>
    <xf numFmtId="165" fontId="6" fillId="25" borderId="17" xfId="0" applyNumberFormat="1" applyFont="1" applyFill="1" applyBorder="1"/>
    <xf numFmtId="165" fontId="8" fillId="25" borderId="17" xfId="0" applyNumberFormat="1" applyFont="1" applyFill="1" applyBorder="1"/>
    <xf numFmtId="0" fontId="16" fillId="12" borderId="16" xfId="0" quotePrefix="1" applyFont="1" applyFill="1" applyBorder="1"/>
    <xf numFmtId="164" fontId="1" fillId="0" borderId="17" xfId="0" applyNumberFormat="1" applyFont="1" applyBorder="1" applyAlignment="1">
      <alignment horizontal="center" wrapText="1"/>
    </xf>
    <xf numFmtId="165" fontId="1" fillId="12" borderId="17" xfId="0" applyNumberFormat="1" applyFont="1" applyFill="1" applyBorder="1"/>
    <xf numFmtId="0" fontId="1" fillId="12" borderId="17" xfId="0" applyFont="1" applyFill="1" applyBorder="1" applyAlignment="1">
      <alignment horizontal="center" wrapText="1"/>
    </xf>
    <xf numFmtId="0" fontId="1" fillId="25" borderId="17" xfId="0" applyFont="1" applyFill="1" applyBorder="1" applyAlignment="1">
      <alignment horizontal="center"/>
    </xf>
    <xf numFmtId="165" fontId="17" fillId="12" borderId="17" xfId="0" applyNumberFormat="1" applyFont="1" applyFill="1" applyBorder="1"/>
    <xf numFmtId="165" fontId="8" fillId="0" borderId="17" xfId="0" applyNumberFormat="1" applyFont="1" applyBorder="1"/>
    <xf numFmtId="0" fontId="8" fillId="0" borderId="17" xfId="0" applyFont="1" applyBorder="1"/>
    <xf numFmtId="164" fontId="8" fillId="0" borderId="16" xfId="0" quotePrefix="1" applyNumberFormat="1" applyFont="1" applyBorder="1"/>
    <xf numFmtId="164" fontId="6" fillId="26" borderId="15" xfId="0" applyNumberFormat="1" applyFont="1" applyFill="1" applyBorder="1"/>
    <xf numFmtId="164" fontId="6" fillId="26" borderId="16" xfId="0" applyNumberFormat="1" applyFont="1" applyFill="1" applyBorder="1"/>
    <xf numFmtId="0" fontId="1" fillId="26" borderId="16" xfId="0" applyFont="1" applyFill="1" applyBorder="1"/>
    <xf numFmtId="0" fontId="6" fillId="26" borderId="16" xfId="0" applyFont="1" applyFill="1" applyBorder="1"/>
    <xf numFmtId="0" fontId="6" fillId="26" borderId="17" xfId="0" applyFont="1" applyFill="1" applyBorder="1"/>
    <xf numFmtId="0" fontId="1" fillId="26" borderId="17" xfId="0" applyFont="1" applyFill="1" applyBorder="1" applyAlignment="1">
      <alignment horizontal="center" wrapText="1"/>
    </xf>
    <xf numFmtId="166" fontId="6" fillId="26" borderId="17" xfId="0" applyNumberFormat="1" applyFont="1" applyFill="1" applyBorder="1"/>
    <xf numFmtId="165" fontId="6" fillId="26" borderId="17" xfId="0" applyNumberFormat="1" applyFont="1" applyFill="1" applyBorder="1"/>
    <xf numFmtId="165" fontId="8" fillId="26" borderId="17" xfId="0" applyNumberFormat="1" applyFont="1" applyFill="1" applyBorder="1"/>
    <xf numFmtId="167" fontId="6" fillId="26" borderId="15" xfId="0" applyNumberFormat="1" applyFont="1" applyFill="1" applyBorder="1"/>
    <xf numFmtId="0" fontId="18" fillId="26" borderId="16" xfId="0" applyFont="1" applyFill="1" applyBorder="1"/>
    <xf numFmtId="164" fontId="1" fillId="26" borderId="17" xfId="0" applyNumberFormat="1" applyFont="1" applyFill="1" applyBorder="1" applyAlignment="1">
      <alignment horizontal="center" wrapText="1"/>
    </xf>
    <xf numFmtId="0" fontId="8" fillId="26" borderId="16" xfId="0" applyFont="1" applyFill="1" applyBorder="1"/>
    <xf numFmtId="164" fontId="8" fillId="26" borderId="17" xfId="0" applyNumberFormat="1" applyFont="1" applyFill="1" applyBorder="1" applyAlignment="1">
      <alignment horizontal="center" wrapText="1"/>
    </xf>
    <xf numFmtId="164" fontId="1" fillId="26" borderId="16" xfId="0" applyNumberFormat="1" applyFont="1" applyFill="1" applyBorder="1"/>
    <xf numFmtId="0" fontId="19" fillId="26" borderId="16" xfId="0" quotePrefix="1" applyFont="1" applyFill="1" applyBorder="1"/>
    <xf numFmtId="0" fontId="8" fillId="26" borderId="17" xfId="0" applyFont="1" applyFill="1" applyBorder="1" applyAlignment="1">
      <alignment horizontal="center"/>
    </xf>
    <xf numFmtId="164" fontId="8" fillId="26" borderId="16" xfId="0" quotePrefix="1" applyNumberFormat="1" applyFont="1" applyFill="1" applyBorder="1"/>
    <xf numFmtId="0" fontId="8" fillId="26" borderId="16" xfId="0" quotePrefix="1" applyFont="1" applyFill="1" applyBorder="1"/>
    <xf numFmtId="46" fontId="6" fillId="12" borderId="15" xfId="0" applyNumberFormat="1" applyFont="1" applyFill="1" applyBorder="1"/>
    <xf numFmtId="0" fontId="8" fillId="12" borderId="16" xfId="0" quotePrefix="1" applyFont="1" applyFill="1" applyBorder="1"/>
    <xf numFmtId="164" fontId="6" fillId="0" borderId="10" xfId="0" applyNumberFormat="1" applyFont="1" applyBorder="1"/>
    <xf numFmtId="164" fontId="6" fillId="0" borderId="11" xfId="0" applyNumberFormat="1" applyFont="1" applyBorder="1"/>
    <xf numFmtId="0" fontId="8" fillId="0" borderId="11" xfId="0" quotePrefix="1" applyFont="1" applyBorder="1"/>
    <xf numFmtId="0" fontId="6" fillId="0" borderId="11" xfId="0" applyFont="1" applyBorder="1"/>
    <xf numFmtId="0" fontId="6" fillId="0" borderId="12" xfId="0" applyFont="1" applyBorder="1"/>
    <xf numFmtId="165" fontId="8" fillId="0" borderId="12" xfId="0" applyNumberFormat="1" applyFont="1" applyBorder="1" applyAlignment="1">
      <alignment horizontal="right"/>
    </xf>
    <xf numFmtId="165" fontId="6" fillId="0" borderId="12" xfId="0" applyNumberFormat="1" applyFont="1" applyBorder="1"/>
    <xf numFmtId="164" fontId="1" fillId="27" borderId="10" xfId="0" applyNumberFormat="1" applyFont="1" applyFill="1" applyBorder="1"/>
    <xf numFmtId="164" fontId="6" fillId="27" borderId="11" xfId="0" applyNumberFormat="1" applyFont="1" applyFill="1" applyBorder="1"/>
    <xf numFmtId="0" fontId="6" fillId="27" borderId="11" xfId="0" applyFont="1" applyFill="1" applyBorder="1"/>
    <xf numFmtId="166" fontId="6" fillId="27" borderId="11" xfId="0" applyNumberFormat="1" applyFont="1" applyFill="1" applyBorder="1"/>
    <xf numFmtId="165" fontId="6" fillId="27" borderId="11" xfId="0" applyNumberFormat="1" applyFont="1" applyFill="1" applyBorder="1"/>
    <xf numFmtId="165" fontId="6" fillId="27" borderId="12" xfId="0" applyNumberFormat="1" applyFont="1" applyFill="1" applyBorder="1"/>
    <xf numFmtId="164" fontId="1" fillId="28" borderId="15" xfId="0" applyNumberFormat="1" applyFont="1" applyFill="1" applyBorder="1"/>
    <xf numFmtId="0" fontId="6" fillId="28" borderId="16" xfId="0" applyFont="1" applyFill="1" applyBorder="1"/>
    <xf numFmtId="164" fontId="6" fillId="28" borderId="16" xfId="0" applyNumberFormat="1" applyFont="1" applyFill="1" applyBorder="1"/>
    <xf numFmtId="166" fontId="6" fillId="28" borderId="16" xfId="0" applyNumberFormat="1" applyFont="1" applyFill="1" applyBorder="1"/>
    <xf numFmtId="166" fontId="6" fillId="28" borderId="17" xfId="0" applyNumberFormat="1" applyFont="1" applyFill="1" applyBorder="1"/>
    <xf numFmtId="165" fontId="6" fillId="28" borderId="17" xfId="0" applyNumberFormat="1" applyFont="1" applyFill="1" applyBorder="1"/>
    <xf numFmtId="167" fontId="6" fillId="29" borderId="15" xfId="0" applyNumberFormat="1" applyFont="1" applyFill="1" applyBorder="1"/>
    <xf numFmtId="0" fontId="1" fillId="29" borderId="16" xfId="0" applyFont="1" applyFill="1" applyBorder="1"/>
    <xf numFmtId="0" fontId="6" fillId="29" borderId="16" xfId="0" applyFont="1" applyFill="1" applyBorder="1"/>
    <xf numFmtId="164" fontId="6" fillId="29" borderId="16" xfId="0" applyNumberFormat="1" applyFont="1" applyFill="1" applyBorder="1"/>
    <xf numFmtId="0" fontId="6" fillId="29" borderId="17" xfId="0" applyFont="1" applyFill="1" applyBorder="1"/>
    <xf numFmtId="0" fontId="1" fillId="29" borderId="17" xfId="0" applyFont="1" applyFill="1" applyBorder="1" applyAlignment="1">
      <alignment horizontal="center" wrapText="1"/>
    </xf>
    <xf numFmtId="166" fontId="1" fillId="29" borderId="17" xfId="0" applyNumberFormat="1" applyFont="1" applyFill="1" applyBorder="1" applyAlignment="1">
      <alignment horizontal="right"/>
    </xf>
    <xf numFmtId="165" fontId="1" fillId="29" borderId="17" xfId="0" applyNumberFormat="1" applyFont="1" applyFill="1" applyBorder="1" applyAlignment="1">
      <alignment horizontal="right"/>
    </xf>
    <xf numFmtId="165" fontId="6" fillId="29" borderId="17" xfId="0" applyNumberFormat="1" applyFont="1" applyFill="1" applyBorder="1"/>
    <xf numFmtId="0" fontId="20" fillId="0" borderId="16" xfId="0" applyFont="1" applyBorder="1"/>
    <xf numFmtId="0" fontId="5" fillId="0" borderId="16" xfId="0" applyFont="1" applyBorder="1"/>
    <xf numFmtId="0" fontId="5" fillId="0" borderId="17" xfId="0" applyFont="1" applyBorder="1"/>
    <xf numFmtId="0" fontId="20" fillId="0" borderId="17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164" fontId="1" fillId="30" borderId="10" xfId="0" applyNumberFormat="1" applyFont="1" applyFill="1" applyBorder="1"/>
    <xf numFmtId="164" fontId="6" fillId="30" borderId="11" xfId="0" applyNumberFormat="1" applyFont="1" applyFill="1" applyBorder="1"/>
    <xf numFmtId="0" fontId="6" fillId="30" borderId="11" xfId="0" applyFont="1" applyFill="1" applyBorder="1"/>
    <xf numFmtId="166" fontId="6" fillId="30" borderId="11" xfId="0" applyNumberFormat="1" applyFont="1" applyFill="1" applyBorder="1"/>
    <xf numFmtId="165" fontId="6" fillId="30" borderId="11" xfId="0" applyNumberFormat="1" applyFont="1" applyFill="1" applyBorder="1"/>
    <xf numFmtId="165" fontId="6" fillId="30" borderId="12" xfId="0" applyNumberFormat="1" applyFont="1" applyFill="1" applyBorder="1"/>
    <xf numFmtId="164" fontId="1" fillId="31" borderId="15" xfId="0" applyNumberFormat="1" applyFont="1" applyFill="1" applyBorder="1"/>
    <xf numFmtId="164" fontId="6" fillId="31" borderId="16" xfId="0" applyNumberFormat="1" applyFont="1" applyFill="1" applyBorder="1"/>
    <xf numFmtId="0" fontId="6" fillId="31" borderId="16" xfId="0" applyFont="1" applyFill="1" applyBorder="1"/>
    <xf numFmtId="0" fontId="6" fillId="31" borderId="17" xfId="0" applyFont="1" applyFill="1" applyBorder="1"/>
    <xf numFmtId="166" fontId="6" fillId="31" borderId="17" xfId="0" applyNumberFormat="1" applyFont="1" applyFill="1" applyBorder="1"/>
    <xf numFmtId="165" fontId="6" fillId="31" borderId="17" xfId="0" applyNumberFormat="1" applyFont="1" applyFill="1" applyBorder="1"/>
    <xf numFmtId="164" fontId="6" fillId="32" borderId="15" xfId="0" applyNumberFormat="1" applyFont="1" applyFill="1" applyBorder="1"/>
    <xf numFmtId="0" fontId="1" fillId="32" borderId="16" xfId="0" applyFont="1" applyFill="1" applyBorder="1"/>
    <xf numFmtId="0" fontId="6" fillId="32" borderId="16" xfId="0" applyFont="1" applyFill="1" applyBorder="1"/>
    <xf numFmtId="0" fontId="6" fillId="32" borderId="17" xfId="0" applyFont="1" applyFill="1" applyBorder="1"/>
    <xf numFmtId="0" fontId="1" fillId="32" borderId="17" xfId="0" applyFont="1" applyFill="1" applyBorder="1" applyAlignment="1">
      <alignment horizontal="center" wrapText="1"/>
    </xf>
    <xf numFmtId="166" fontId="1" fillId="32" borderId="17" xfId="0" applyNumberFormat="1" applyFont="1" applyFill="1" applyBorder="1" applyAlignment="1">
      <alignment horizontal="right"/>
    </xf>
    <xf numFmtId="165" fontId="1" fillId="32" borderId="17" xfId="0" applyNumberFormat="1" applyFont="1" applyFill="1" applyBorder="1" applyAlignment="1">
      <alignment horizontal="right"/>
    </xf>
    <xf numFmtId="165" fontId="6" fillId="32" borderId="17" xfId="0" applyNumberFormat="1" applyFont="1" applyFill="1" applyBorder="1"/>
    <xf numFmtId="0" fontId="8" fillId="9" borderId="16" xfId="0" applyFont="1" applyFill="1" applyBorder="1"/>
    <xf numFmtId="166" fontId="8" fillId="9" borderId="17" xfId="0" applyNumberFormat="1" applyFont="1" applyFill="1" applyBorder="1" applyAlignment="1">
      <alignment horizontal="right"/>
    </xf>
    <xf numFmtId="0" fontId="8" fillId="9" borderId="17" xfId="0" applyFont="1" applyFill="1" applyBorder="1" applyAlignment="1">
      <alignment horizontal="center"/>
    </xf>
    <xf numFmtId="165" fontId="8" fillId="9" borderId="17" xfId="0" applyNumberFormat="1" applyFont="1" applyFill="1" applyBorder="1" applyAlignment="1">
      <alignment horizontal="right"/>
    </xf>
    <xf numFmtId="167" fontId="6" fillId="32" borderId="15" xfId="0" applyNumberFormat="1" applyFont="1" applyFill="1" applyBorder="1"/>
    <xf numFmtId="167" fontId="6" fillId="32" borderId="16" xfId="0" applyNumberFormat="1" applyFont="1" applyFill="1" applyBorder="1"/>
    <xf numFmtId="164" fontId="6" fillId="32" borderId="16" xfId="0" applyNumberFormat="1" applyFont="1" applyFill="1" applyBorder="1"/>
    <xf numFmtId="164" fontId="21" fillId="25" borderId="16" xfId="0" applyNumberFormat="1" applyFont="1" applyFill="1" applyBorder="1"/>
    <xf numFmtId="164" fontId="22" fillId="12" borderId="16" xfId="0" applyNumberFormat="1" applyFont="1" applyFill="1" applyBorder="1"/>
    <xf numFmtId="0" fontId="23" fillId="25" borderId="16" xfId="0" applyFont="1" applyFill="1" applyBorder="1"/>
    <xf numFmtId="166" fontId="6" fillId="32" borderId="17" xfId="0" applyNumberFormat="1" applyFont="1" applyFill="1" applyBorder="1"/>
    <xf numFmtId="164" fontId="6" fillId="12" borderId="10" xfId="0" applyNumberFormat="1" applyFont="1" applyFill="1" applyBorder="1"/>
    <xf numFmtId="164" fontId="6" fillId="12" borderId="11" xfId="0" applyNumberFormat="1" applyFont="1" applyFill="1" applyBorder="1"/>
    <xf numFmtId="164" fontId="22" fillId="12" borderId="11" xfId="0" applyNumberFormat="1" applyFont="1" applyFill="1" applyBorder="1"/>
    <xf numFmtId="164" fontId="1" fillId="32" borderId="16" xfId="0" applyNumberFormat="1" applyFont="1" applyFill="1" applyBorder="1"/>
    <xf numFmtId="164" fontId="1" fillId="32" borderId="17" xfId="0" applyNumberFormat="1" applyFont="1" applyFill="1" applyBorder="1" applyAlignment="1">
      <alignment horizontal="center" wrapText="1"/>
    </xf>
    <xf numFmtId="164" fontId="24" fillId="12" borderId="16" xfId="0" applyNumberFormat="1" applyFont="1" applyFill="1" applyBorder="1"/>
    <xf numFmtId="164" fontId="25" fillId="23" borderId="16" xfId="0" quotePrefix="1" applyNumberFormat="1" applyFont="1" applyFill="1" applyBorder="1"/>
    <xf numFmtId="164" fontId="6" fillId="26" borderId="17" xfId="0" applyNumberFormat="1" applyFont="1" applyFill="1" applyBorder="1"/>
    <xf numFmtId="164" fontId="6" fillId="26" borderId="10" xfId="0" applyNumberFormat="1" applyFont="1" applyFill="1" applyBorder="1"/>
    <xf numFmtId="164" fontId="6" fillId="26" borderId="11" xfId="0" applyNumberFormat="1" applyFont="1" applyFill="1" applyBorder="1"/>
    <xf numFmtId="164" fontId="6" fillId="26" borderId="12" xfId="0" applyNumberFormat="1" applyFont="1" applyFill="1" applyBorder="1"/>
    <xf numFmtId="166" fontId="6" fillId="26" borderId="12" xfId="0" applyNumberFormat="1" applyFont="1" applyFill="1" applyBorder="1"/>
    <xf numFmtId="165" fontId="6" fillId="26" borderId="12" xfId="0" applyNumberFormat="1" applyFont="1" applyFill="1" applyBorder="1"/>
    <xf numFmtId="166" fontId="1" fillId="32" borderId="17" xfId="0" applyNumberFormat="1" applyFont="1" applyFill="1" applyBorder="1"/>
    <xf numFmtId="164" fontId="8" fillId="12" borderId="15" xfId="0" applyNumberFormat="1" applyFont="1" applyFill="1" applyBorder="1"/>
    <xf numFmtId="164" fontId="8" fillId="12" borderId="17" xfId="0" applyNumberFormat="1" applyFont="1" applyFill="1" applyBorder="1"/>
    <xf numFmtId="0" fontId="26" fillId="12" borderId="0" xfId="0" applyFont="1" applyFill="1"/>
    <xf numFmtId="164" fontId="6" fillId="26" borderId="0" xfId="0" applyNumberFormat="1" applyFont="1" applyFill="1"/>
    <xf numFmtId="164" fontId="6" fillId="32" borderId="18" xfId="0" applyNumberFormat="1" applyFont="1" applyFill="1" applyBorder="1"/>
    <xf numFmtId="164" fontId="6" fillId="32" borderId="17" xfId="0" applyNumberFormat="1" applyFont="1" applyFill="1" applyBorder="1"/>
    <xf numFmtId="164" fontId="1" fillId="32" borderId="17" xfId="0" applyNumberFormat="1" applyFont="1" applyFill="1" applyBorder="1" applyAlignment="1">
      <alignment horizontal="center"/>
    </xf>
    <xf numFmtId="164" fontId="1" fillId="12" borderId="17" xfId="0" applyNumberFormat="1" applyFont="1" applyFill="1" applyBorder="1" applyAlignment="1">
      <alignment horizontal="center" wrapText="1"/>
    </xf>
    <xf numFmtId="164" fontId="28" fillId="12" borderId="16" xfId="0" quotePrefix="1" applyNumberFormat="1" applyFont="1" applyFill="1" applyBorder="1"/>
    <xf numFmtId="164" fontId="6" fillId="33" borderId="15" xfId="0" applyNumberFormat="1" applyFont="1" applyFill="1" applyBorder="1"/>
    <xf numFmtId="164" fontId="1" fillId="33" borderId="16" xfId="0" applyNumberFormat="1" applyFont="1" applyFill="1" applyBorder="1"/>
    <xf numFmtId="164" fontId="6" fillId="33" borderId="16" xfId="0" applyNumberFormat="1" applyFont="1" applyFill="1" applyBorder="1"/>
    <xf numFmtId="164" fontId="6" fillId="33" borderId="17" xfId="0" applyNumberFormat="1" applyFont="1" applyFill="1" applyBorder="1"/>
    <xf numFmtId="164" fontId="1" fillId="33" borderId="17" xfId="0" applyNumberFormat="1" applyFont="1" applyFill="1" applyBorder="1" applyAlignment="1">
      <alignment horizontal="center" wrapText="1"/>
    </xf>
    <xf numFmtId="166" fontId="1" fillId="33" borderId="17" xfId="0" applyNumberFormat="1" applyFont="1" applyFill="1" applyBorder="1" applyAlignment="1">
      <alignment horizontal="right"/>
    </xf>
    <xf numFmtId="165" fontId="1" fillId="33" borderId="17" xfId="0" applyNumberFormat="1" applyFont="1" applyFill="1" applyBorder="1" applyAlignment="1">
      <alignment horizontal="right"/>
    </xf>
    <xf numFmtId="164" fontId="1" fillId="12" borderId="16" xfId="0" applyNumberFormat="1" applyFont="1" applyFill="1" applyBorder="1"/>
    <xf numFmtId="168" fontId="8" fillId="12" borderId="17" xfId="0" applyNumberFormat="1" applyFont="1" applyFill="1" applyBorder="1" applyAlignment="1">
      <alignment horizontal="right"/>
    </xf>
    <xf numFmtId="164" fontId="8" fillId="12" borderId="16" xfId="0" quotePrefix="1" applyNumberFormat="1" applyFont="1" applyFill="1" applyBorder="1"/>
    <xf numFmtId="164" fontId="29" fillId="33" borderId="16" xfId="0" applyNumberFormat="1" applyFont="1" applyFill="1" applyBorder="1"/>
    <xf numFmtId="164" fontId="1" fillId="33" borderId="17" xfId="0" applyNumberFormat="1" applyFont="1" applyFill="1" applyBorder="1" applyAlignment="1">
      <alignment horizontal="center"/>
    </xf>
    <xf numFmtId="164" fontId="6" fillId="12" borderId="12" xfId="0" applyNumberFormat="1" applyFont="1" applyFill="1" applyBorder="1"/>
    <xf numFmtId="164" fontId="8" fillId="12" borderId="12" xfId="0" applyNumberFormat="1" applyFont="1" applyFill="1" applyBorder="1" applyAlignment="1">
      <alignment horizontal="center"/>
    </xf>
    <xf numFmtId="0" fontId="30" fillId="12" borderId="16" xfId="0" applyFont="1" applyFill="1" applyBorder="1"/>
    <xf numFmtId="164" fontId="1" fillId="12" borderId="11" xfId="0" applyNumberFormat="1" applyFont="1" applyFill="1" applyBorder="1"/>
    <xf numFmtId="164" fontId="1" fillId="34" borderId="10" xfId="0" applyNumberFormat="1" applyFont="1" applyFill="1" applyBorder="1"/>
    <xf numFmtId="164" fontId="6" fillId="34" borderId="11" xfId="0" applyNumberFormat="1" applyFont="1" applyFill="1" applyBorder="1"/>
    <xf numFmtId="0" fontId="6" fillId="34" borderId="11" xfId="0" applyFont="1" applyFill="1" applyBorder="1"/>
    <xf numFmtId="166" fontId="6" fillId="34" borderId="11" xfId="0" applyNumberFormat="1" applyFont="1" applyFill="1" applyBorder="1"/>
    <xf numFmtId="165" fontId="6" fillId="34" borderId="11" xfId="0" applyNumberFormat="1" applyFont="1" applyFill="1" applyBorder="1"/>
    <xf numFmtId="165" fontId="6" fillId="34" borderId="12" xfId="0" applyNumberFormat="1" applyFont="1" applyFill="1" applyBorder="1"/>
    <xf numFmtId="164" fontId="1" fillId="35" borderId="15" xfId="0" applyNumberFormat="1" applyFont="1" applyFill="1" applyBorder="1"/>
    <xf numFmtId="164" fontId="6" fillId="35" borderId="16" xfId="0" applyNumberFormat="1" applyFont="1" applyFill="1" applyBorder="1"/>
    <xf numFmtId="0" fontId="6" fillId="35" borderId="16" xfId="0" applyFont="1" applyFill="1" applyBorder="1"/>
    <xf numFmtId="0" fontId="6" fillId="35" borderId="17" xfId="0" applyFont="1" applyFill="1" applyBorder="1"/>
    <xf numFmtId="166" fontId="6" fillId="35" borderId="17" xfId="0" applyNumberFormat="1" applyFont="1" applyFill="1" applyBorder="1"/>
    <xf numFmtId="165" fontId="6" fillId="35" borderId="17" xfId="0" applyNumberFormat="1" applyFont="1" applyFill="1" applyBorder="1"/>
    <xf numFmtId="164" fontId="6" fillId="36" borderId="15" xfId="0" applyNumberFormat="1" applyFont="1" applyFill="1" applyBorder="1"/>
    <xf numFmtId="0" fontId="1" fillId="36" borderId="16" xfId="0" applyFont="1" applyFill="1" applyBorder="1"/>
    <xf numFmtId="164" fontId="6" fillId="36" borderId="16" xfId="0" applyNumberFormat="1" applyFont="1" applyFill="1" applyBorder="1"/>
    <xf numFmtId="0" fontId="6" fillId="36" borderId="16" xfId="0" applyFont="1" applyFill="1" applyBorder="1"/>
    <xf numFmtId="0" fontId="6" fillId="36" borderId="17" xfId="0" applyFont="1" applyFill="1" applyBorder="1"/>
    <xf numFmtId="0" fontId="1" fillId="36" borderId="17" xfId="0" applyFont="1" applyFill="1" applyBorder="1" applyAlignment="1">
      <alignment horizontal="center" wrapText="1"/>
    </xf>
    <xf numFmtId="166" fontId="1" fillId="36" borderId="17" xfId="0" applyNumberFormat="1" applyFont="1" applyFill="1" applyBorder="1" applyAlignment="1">
      <alignment horizontal="right"/>
    </xf>
    <xf numFmtId="165" fontId="1" fillId="36" borderId="17" xfId="0" applyNumberFormat="1" applyFont="1" applyFill="1" applyBorder="1" applyAlignment="1">
      <alignment horizontal="right"/>
    </xf>
    <xf numFmtId="165" fontId="6" fillId="36" borderId="17" xfId="0" applyNumberFormat="1" applyFont="1" applyFill="1" applyBorder="1"/>
    <xf numFmtId="165" fontId="6" fillId="36" borderId="19" xfId="0" applyNumberFormat="1" applyFont="1" applyFill="1" applyBorder="1"/>
    <xf numFmtId="0" fontId="8" fillId="0" borderId="11" xfId="0" applyFont="1" applyBorder="1"/>
    <xf numFmtId="0" fontId="8" fillId="12" borderId="12" xfId="0" applyFont="1" applyFill="1" applyBorder="1" applyAlignment="1">
      <alignment horizontal="center" wrapText="1"/>
    </xf>
    <xf numFmtId="0" fontId="6" fillId="26" borderId="11" xfId="0" applyFont="1" applyFill="1" applyBorder="1"/>
    <xf numFmtId="0" fontId="6" fillId="26" borderId="12" xfId="0" applyFont="1" applyFill="1" applyBorder="1"/>
    <xf numFmtId="164" fontId="1" fillId="36" borderId="17" xfId="0" applyNumberFormat="1" applyFont="1" applyFill="1" applyBorder="1" applyAlignment="1">
      <alignment horizontal="center" wrapText="1"/>
    </xf>
    <xf numFmtId="166" fontId="1" fillId="36" borderId="17" xfId="0" applyNumberFormat="1" applyFont="1" applyFill="1" applyBorder="1"/>
    <xf numFmtId="0" fontId="8" fillId="26" borderId="11" xfId="0" applyFont="1" applyFill="1" applyBorder="1"/>
    <xf numFmtId="164" fontId="5" fillId="12" borderId="20" xfId="0" applyNumberFormat="1" applyFont="1" applyFill="1" applyBorder="1"/>
    <xf numFmtId="0" fontId="5" fillId="12" borderId="18" xfId="0" applyFont="1" applyFill="1" applyBorder="1"/>
    <xf numFmtId="164" fontId="5" fillId="12" borderId="18" xfId="0" applyNumberFormat="1" applyFont="1" applyFill="1" applyBorder="1"/>
    <xf numFmtId="0" fontId="20" fillId="12" borderId="18" xfId="0" applyFont="1" applyFill="1" applyBorder="1"/>
    <xf numFmtId="0" fontId="5" fillId="12" borderId="19" xfId="0" applyFont="1" applyFill="1" applyBorder="1"/>
    <xf numFmtId="164" fontId="20" fillId="12" borderId="19" xfId="0" applyNumberFormat="1" applyFont="1" applyFill="1" applyBorder="1" applyAlignment="1">
      <alignment horizontal="center"/>
    </xf>
    <xf numFmtId="166" fontId="20" fillId="12" borderId="19" xfId="0" applyNumberFormat="1" applyFont="1" applyFill="1" applyBorder="1" applyAlignment="1">
      <alignment horizontal="right"/>
    </xf>
    <xf numFmtId="165" fontId="20" fillId="12" borderId="19" xfId="0" applyNumberFormat="1" applyFont="1" applyFill="1" applyBorder="1" applyAlignment="1">
      <alignment horizontal="right"/>
    </xf>
    <xf numFmtId="165" fontId="5" fillId="12" borderId="19" xfId="0" applyNumberFormat="1" applyFont="1" applyFill="1" applyBorder="1"/>
    <xf numFmtId="164" fontId="5" fillId="12" borderId="15" xfId="0" applyNumberFormat="1" applyFont="1" applyFill="1" applyBorder="1"/>
    <xf numFmtId="0" fontId="5" fillId="12" borderId="16" xfId="0" applyFont="1" applyFill="1" applyBorder="1"/>
    <xf numFmtId="164" fontId="5" fillId="12" borderId="16" xfId="0" applyNumberFormat="1" applyFont="1" applyFill="1" applyBorder="1"/>
    <xf numFmtId="0" fontId="20" fillId="12" borderId="16" xfId="0" applyFont="1" applyFill="1" applyBorder="1"/>
    <xf numFmtId="0" fontId="5" fillId="12" borderId="17" xfId="0" applyFont="1" applyFill="1" applyBorder="1"/>
    <xf numFmtId="0" fontId="20" fillId="12" borderId="17" xfId="0" applyFont="1" applyFill="1" applyBorder="1" applyAlignment="1">
      <alignment horizontal="center"/>
    </xf>
    <xf numFmtId="166" fontId="20" fillId="12" borderId="17" xfId="0" applyNumberFormat="1" applyFont="1" applyFill="1" applyBorder="1" applyAlignment="1">
      <alignment horizontal="right"/>
    </xf>
    <xf numFmtId="165" fontId="20" fillId="12" borderId="17" xfId="0" applyNumberFormat="1" applyFont="1" applyFill="1" applyBorder="1" applyAlignment="1">
      <alignment horizontal="right"/>
    </xf>
    <xf numFmtId="165" fontId="5" fillId="12" borderId="17" xfId="0" applyNumberFormat="1" applyFont="1" applyFill="1" applyBorder="1"/>
    <xf numFmtId="165" fontId="6" fillId="22" borderId="21" xfId="0" applyNumberFormat="1" applyFont="1" applyFill="1" applyBorder="1"/>
    <xf numFmtId="164" fontId="1" fillId="11" borderId="22" xfId="0" applyNumberFormat="1" applyFont="1" applyFill="1" applyBorder="1" applyAlignment="1">
      <alignment horizontal="center"/>
    </xf>
    <xf numFmtId="166" fontId="1" fillId="11" borderId="22" xfId="0" applyNumberFormat="1" applyFont="1" applyFill="1" applyBorder="1"/>
    <xf numFmtId="166" fontId="1" fillId="11" borderId="17" xfId="0" applyNumberFormat="1" applyFont="1" applyFill="1" applyBorder="1"/>
    <xf numFmtId="165" fontId="1" fillId="11" borderId="17" xfId="0" applyNumberFormat="1" applyFont="1" applyFill="1" applyBorder="1"/>
    <xf numFmtId="164" fontId="6" fillId="11" borderId="15" xfId="0" applyNumberFormat="1" applyFont="1" applyFill="1" applyBorder="1"/>
    <xf numFmtId="164" fontId="8" fillId="11" borderId="16" xfId="0" applyNumberFormat="1" applyFont="1" applyFill="1" applyBorder="1"/>
    <xf numFmtId="164" fontId="1" fillId="0" borderId="17" xfId="0" applyNumberFormat="1" applyFont="1" applyBorder="1" applyAlignment="1">
      <alignment horizontal="center"/>
    </xf>
    <xf numFmtId="164" fontId="8" fillId="0" borderId="16" xfId="0" applyNumberFormat="1" applyFont="1" applyBorder="1"/>
    <xf numFmtId="166" fontId="1" fillId="12" borderId="17" xfId="0" applyNumberFormat="1" applyFont="1" applyFill="1" applyBorder="1"/>
    <xf numFmtId="165" fontId="1" fillId="0" borderId="17" xfId="0" applyNumberFormat="1" applyFont="1" applyBorder="1"/>
    <xf numFmtId="164" fontId="6" fillId="0" borderId="23" xfId="0" applyNumberFormat="1" applyFont="1" applyBorder="1"/>
    <xf numFmtId="164" fontId="6" fillId="0" borderId="24" xfId="0" applyNumberFormat="1" applyFont="1" applyBorder="1"/>
    <xf numFmtId="164" fontId="8" fillId="0" borderId="24" xfId="0" applyNumberFormat="1" applyFont="1" applyBorder="1"/>
    <xf numFmtId="0" fontId="6" fillId="0" borderId="24" xfId="0" applyFont="1" applyBorder="1"/>
    <xf numFmtId="0" fontId="6" fillId="0" borderId="25" xfId="0" applyFont="1" applyBorder="1"/>
    <xf numFmtId="164" fontId="8" fillId="0" borderId="25" xfId="0" applyNumberFormat="1" applyFont="1" applyBorder="1" applyAlignment="1">
      <alignment horizontal="center" wrapText="1"/>
    </xf>
    <xf numFmtId="166" fontId="6" fillId="12" borderId="25" xfId="0" applyNumberFormat="1" applyFont="1" applyFill="1" applyBorder="1"/>
    <xf numFmtId="166" fontId="8" fillId="12" borderId="25" xfId="0" applyNumberFormat="1" applyFont="1" applyFill="1" applyBorder="1"/>
    <xf numFmtId="165" fontId="8" fillId="0" borderId="25" xfId="0" applyNumberFormat="1" applyFont="1" applyBorder="1"/>
    <xf numFmtId="165" fontId="6" fillId="12" borderId="25" xfId="0" applyNumberFormat="1" applyFont="1" applyFill="1" applyBorder="1"/>
    <xf numFmtId="164" fontId="1" fillId="9" borderId="10" xfId="0" applyNumberFormat="1" applyFont="1" applyFill="1" applyBorder="1"/>
    <xf numFmtId="164" fontId="6" fillId="9" borderId="11" xfId="0" applyNumberFormat="1" applyFont="1" applyFill="1" applyBorder="1"/>
    <xf numFmtId="164" fontId="6" fillId="9" borderId="12" xfId="0" applyNumberFormat="1" applyFont="1" applyFill="1" applyBorder="1"/>
    <xf numFmtId="164" fontId="6" fillId="37" borderId="15" xfId="0" applyNumberFormat="1" applyFont="1" applyFill="1" applyBorder="1"/>
    <xf numFmtId="164" fontId="1" fillId="37" borderId="16" xfId="0" applyNumberFormat="1" applyFont="1" applyFill="1" applyBorder="1"/>
    <xf numFmtId="164" fontId="6" fillId="37" borderId="16" xfId="0" applyNumberFormat="1" applyFont="1" applyFill="1" applyBorder="1"/>
    <xf numFmtId="0" fontId="6" fillId="37" borderId="16" xfId="0" applyFont="1" applyFill="1" applyBorder="1"/>
    <xf numFmtId="0" fontId="6" fillId="37" borderId="17" xfId="0" applyFont="1" applyFill="1" applyBorder="1"/>
    <xf numFmtId="164" fontId="6" fillId="37" borderId="17" xfId="0" applyNumberFormat="1" applyFont="1" applyFill="1" applyBorder="1"/>
    <xf numFmtId="166" fontId="6" fillId="37" borderId="17" xfId="0" applyNumberFormat="1" applyFont="1" applyFill="1" applyBorder="1"/>
    <xf numFmtId="165" fontId="6" fillId="37" borderId="17" xfId="0" applyNumberFormat="1" applyFont="1" applyFill="1" applyBorder="1"/>
    <xf numFmtId="164" fontId="6" fillId="38" borderId="15" xfId="0" applyNumberFormat="1" applyFont="1" applyFill="1" applyBorder="1"/>
    <xf numFmtId="164" fontId="1" fillId="38" borderId="16" xfId="0" applyNumberFormat="1" applyFont="1" applyFill="1" applyBorder="1"/>
    <xf numFmtId="164" fontId="6" fillId="38" borderId="16" xfId="0" applyNumberFormat="1" applyFont="1" applyFill="1" applyBorder="1"/>
    <xf numFmtId="0" fontId="6" fillId="38" borderId="16" xfId="0" applyFont="1" applyFill="1" applyBorder="1"/>
    <xf numFmtId="0" fontId="6" fillId="38" borderId="17" xfId="0" applyFont="1" applyFill="1" applyBorder="1"/>
    <xf numFmtId="164" fontId="1" fillId="38" borderId="17" xfId="0" applyNumberFormat="1" applyFont="1" applyFill="1" applyBorder="1" applyAlignment="1">
      <alignment horizontal="center"/>
    </xf>
    <xf numFmtId="166" fontId="1" fillId="38" borderId="17" xfId="0" applyNumberFormat="1" applyFont="1" applyFill="1" applyBorder="1" applyAlignment="1">
      <alignment horizontal="right"/>
    </xf>
    <xf numFmtId="165" fontId="1" fillId="38" borderId="17" xfId="0" applyNumberFormat="1" applyFont="1" applyFill="1" applyBorder="1" applyAlignment="1">
      <alignment horizontal="right"/>
    </xf>
    <xf numFmtId="165" fontId="6" fillId="38" borderId="17" xfId="0" applyNumberFormat="1" applyFont="1" applyFill="1" applyBorder="1"/>
    <xf numFmtId="164" fontId="32" fillId="23" borderId="16" xfId="0" applyNumberFormat="1" applyFont="1" applyFill="1" applyBorder="1"/>
    <xf numFmtId="164" fontId="6" fillId="38" borderId="17" xfId="0" applyNumberFormat="1" applyFont="1" applyFill="1" applyBorder="1"/>
    <xf numFmtId="166" fontId="6" fillId="38" borderId="17" xfId="0" applyNumberFormat="1" applyFont="1" applyFill="1" applyBorder="1"/>
    <xf numFmtId="0" fontId="33" fillId="23" borderId="16" xfId="0" applyFont="1" applyFill="1" applyBorder="1"/>
    <xf numFmtId="164" fontId="8" fillId="12" borderId="17" xfId="0" applyNumberFormat="1" applyFont="1" applyFill="1" applyBorder="1" applyAlignment="1">
      <alignment horizontal="right"/>
    </xf>
    <xf numFmtId="169" fontId="6" fillId="12" borderId="17" xfId="0" applyNumberFormat="1" applyFont="1" applyFill="1" applyBorder="1"/>
    <xf numFmtId="164" fontId="1" fillId="12" borderId="17" xfId="0" applyNumberFormat="1" applyFont="1" applyFill="1" applyBorder="1" applyAlignment="1">
      <alignment horizontal="right"/>
    </xf>
    <xf numFmtId="164" fontId="34" fillId="0" borderId="11" xfId="0" applyNumberFormat="1" applyFont="1" applyBorder="1"/>
    <xf numFmtId="169" fontId="6" fillId="12" borderId="12" xfId="0" applyNumberFormat="1" applyFont="1" applyFill="1" applyBorder="1"/>
    <xf numFmtId="164" fontId="1" fillId="37" borderId="17" xfId="0" applyNumberFormat="1" applyFont="1" applyFill="1" applyBorder="1" applyAlignment="1">
      <alignment horizontal="center"/>
    </xf>
    <xf numFmtId="166" fontId="1" fillId="37" borderId="17" xfId="0" applyNumberFormat="1" applyFont="1" applyFill="1" applyBorder="1" applyAlignment="1">
      <alignment horizontal="right"/>
    </xf>
    <xf numFmtId="165" fontId="1" fillId="37" borderId="17" xfId="0" applyNumberFormat="1" applyFont="1" applyFill="1" applyBorder="1" applyAlignment="1">
      <alignment horizontal="right"/>
    </xf>
    <xf numFmtId="166" fontId="1" fillId="37" borderId="17" xfId="0" applyNumberFormat="1" applyFont="1" applyFill="1" applyBorder="1"/>
    <xf numFmtId="164" fontId="8" fillId="0" borderId="12" xfId="0" applyNumberFormat="1" applyFont="1" applyBorder="1" applyAlignment="1">
      <alignment horizontal="center" wrapText="1"/>
    </xf>
    <xf numFmtId="164" fontId="1" fillId="0" borderId="16" xfId="0" applyNumberFormat="1" applyFont="1" applyBorder="1"/>
    <xf numFmtId="164" fontId="5" fillId="0" borderId="20" xfId="0" applyNumberFormat="1" applyFont="1" applyBorder="1"/>
    <xf numFmtId="164" fontId="5" fillId="0" borderId="18" xfId="0" applyNumberFormat="1" applyFont="1" applyBorder="1"/>
    <xf numFmtId="164" fontId="20" fillId="0" borderId="18" xfId="0" applyNumberFormat="1" applyFont="1" applyBorder="1"/>
    <xf numFmtId="0" fontId="5" fillId="0" borderId="18" xfId="0" applyFont="1" applyBorder="1"/>
    <xf numFmtId="0" fontId="5" fillId="0" borderId="19" xfId="0" applyFont="1" applyBorder="1"/>
    <xf numFmtId="164" fontId="20" fillId="0" borderId="19" xfId="0" applyNumberFormat="1" applyFont="1" applyBorder="1" applyAlignment="1">
      <alignment horizontal="center"/>
    </xf>
    <xf numFmtId="166" fontId="5" fillId="0" borderId="19" xfId="0" applyNumberFormat="1" applyFont="1" applyBorder="1"/>
    <xf numFmtId="165" fontId="5" fillId="0" borderId="19" xfId="0" applyNumberFormat="1" applyFont="1" applyBorder="1"/>
    <xf numFmtId="164" fontId="6" fillId="37" borderId="26" xfId="0" applyNumberFormat="1" applyFont="1" applyFill="1" applyBorder="1"/>
    <xf numFmtId="164" fontId="1" fillId="37" borderId="27" xfId="0" applyNumberFormat="1" applyFont="1" applyFill="1" applyBorder="1"/>
    <xf numFmtId="164" fontId="6" fillId="37" borderId="27" xfId="0" applyNumberFormat="1" applyFont="1" applyFill="1" applyBorder="1"/>
    <xf numFmtId="0" fontId="6" fillId="37" borderId="27" xfId="0" applyFont="1" applyFill="1" applyBorder="1"/>
    <xf numFmtId="0" fontId="6" fillId="37" borderId="21" xfId="0" applyFont="1" applyFill="1" applyBorder="1"/>
    <xf numFmtId="164" fontId="1" fillId="37" borderId="21" xfId="0" applyNumberFormat="1" applyFont="1" applyFill="1" applyBorder="1" applyAlignment="1">
      <alignment horizontal="center"/>
    </xf>
    <xf numFmtId="166" fontId="1" fillId="37" borderId="21" xfId="0" applyNumberFormat="1" applyFont="1" applyFill="1" applyBorder="1" applyAlignment="1">
      <alignment horizontal="right"/>
    </xf>
    <xf numFmtId="165" fontId="1" fillId="37" borderId="21" xfId="0" applyNumberFormat="1" applyFont="1" applyFill="1" applyBorder="1" applyAlignment="1">
      <alignment horizontal="right"/>
    </xf>
    <xf numFmtId="165" fontId="6" fillId="37" borderId="21" xfId="0" applyNumberFormat="1" applyFont="1" applyFill="1" applyBorder="1"/>
    <xf numFmtId="164" fontId="8" fillId="0" borderId="11" xfId="0" applyNumberFormat="1" applyFont="1" applyBorder="1"/>
    <xf numFmtId="164" fontId="1" fillId="13" borderId="26" xfId="0" applyNumberFormat="1" applyFont="1" applyFill="1" applyBorder="1"/>
    <xf numFmtId="164" fontId="6" fillId="13" borderId="27" xfId="0" applyNumberFormat="1" applyFont="1" applyFill="1" applyBorder="1"/>
    <xf numFmtId="0" fontId="6" fillId="13" borderId="27" xfId="0" applyFont="1" applyFill="1" applyBorder="1"/>
    <xf numFmtId="0" fontId="6" fillId="13" borderId="21" xfId="0" applyFont="1" applyFill="1" applyBorder="1"/>
    <xf numFmtId="164" fontId="1" fillId="13" borderId="27" xfId="0" applyNumberFormat="1" applyFont="1" applyFill="1" applyBorder="1"/>
    <xf numFmtId="166" fontId="6" fillId="13" borderId="27" xfId="0" applyNumberFormat="1" applyFont="1" applyFill="1" applyBorder="1"/>
    <xf numFmtId="166" fontId="6" fillId="13" borderId="21" xfId="0" applyNumberFormat="1" applyFont="1" applyFill="1" applyBorder="1"/>
    <xf numFmtId="165" fontId="6" fillId="13" borderId="21" xfId="0" applyNumberFormat="1" applyFont="1" applyFill="1" applyBorder="1"/>
    <xf numFmtId="164" fontId="35" fillId="0" borderId="0" xfId="0" applyNumberFormat="1" applyFont="1"/>
    <xf numFmtId="164" fontId="5" fillId="0" borderId="0" xfId="0" applyNumberFormat="1" applyFont="1"/>
    <xf numFmtId="0" fontId="5" fillId="0" borderId="0" xfId="0" applyFont="1"/>
    <xf numFmtId="166" fontId="5" fillId="0" borderId="0" xfId="0" applyNumberFormat="1" applyFont="1"/>
    <xf numFmtId="165" fontId="5" fillId="0" borderId="0" xfId="0" applyNumberFormat="1" applyFont="1"/>
    <xf numFmtId="164" fontId="36" fillId="12" borderId="15" xfId="0" applyNumberFormat="1" applyFont="1" applyFill="1" applyBorder="1"/>
    <xf numFmtId="164" fontId="36" fillId="12" borderId="16" xfId="0" applyNumberFormat="1" applyFont="1" applyFill="1" applyBorder="1"/>
    <xf numFmtId="0" fontId="36" fillId="0" borderId="16" xfId="0" applyFont="1" applyBorder="1"/>
    <xf numFmtId="0" fontId="37" fillId="0" borderId="16" xfId="0" quotePrefix="1" applyFont="1" applyBorder="1"/>
    <xf numFmtId="0" fontId="36" fillId="0" borderId="17" xfId="0" applyFont="1" applyBorder="1"/>
    <xf numFmtId="164" fontId="37" fillId="12" borderId="17" xfId="0" applyNumberFormat="1" applyFont="1" applyFill="1" applyBorder="1" applyAlignment="1">
      <alignment horizontal="center"/>
    </xf>
    <xf numFmtId="166" fontId="37" fillId="12" borderId="17" xfId="0" applyNumberFormat="1" applyFont="1" applyFill="1" applyBorder="1" applyAlignment="1">
      <alignment horizontal="right"/>
    </xf>
    <xf numFmtId="165" fontId="37" fillId="12" borderId="17" xfId="0" applyNumberFormat="1" applyFont="1" applyFill="1" applyBorder="1" applyAlignment="1">
      <alignment horizontal="right"/>
    </xf>
    <xf numFmtId="165" fontId="36" fillId="0" borderId="17" xfId="0" applyNumberFormat="1" applyFont="1" applyBorder="1"/>
    <xf numFmtId="0" fontId="38" fillId="0" borderId="0" xfId="0" applyFont="1"/>
    <xf numFmtId="0" fontId="37" fillId="12" borderId="16" xfId="0" quotePrefix="1" applyFont="1" applyFill="1" applyBorder="1"/>
    <xf numFmtId="0" fontId="37" fillId="0" borderId="16" xfId="0" applyFont="1" applyBorder="1"/>
    <xf numFmtId="164" fontId="6" fillId="0" borderId="12" xfId="0" applyNumberFormat="1" applyFont="1" applyBorder="1"/>
    <xf numFmtId="166" fontId="6" fillId="0" borderId="12" xfId="0" applyNumberFormat="1" applyFont="1" applyBorder="1"/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164" fontId="4" fillId="6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165" fontId="4" fillId="7" borderId="11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4" fillId="3" borderId="1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164" fontId="2" fillId="5" borderId="5" xfId="0" applyNumberFormat="1" applyFont="1" applyFill="1" applyBorder="1" applyAlignment="1">
      <alignment horizontal="center" vertical="center"/>
    </xf>
    <xf numFmtId="0" fontId="5" fillId="9" borderId="10" xfId="0" applyFont="1" applyFill="1" applyBorder="1"/>
    <xf numFmtId="165" fontId="4" fillId="6" borderId="11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/>
    <xf numFmtId="0" fontId="6" fillId="9" borderId="10" xfId="0" applyFont="1" applyFill="1" applyBorder="1"/>
    <xf numFmtId="0" fontId="1" fillId="17" borderId="10" xfId="0" applyFont="1" applyFill="1" applyBorder="1"/>
    <xf numFmtId="0" fontId="1" fillId="18" borderId="16" xfId="0" applyFont="1" applyFill="1" applyBorder="1"/>
    <xf numFmtId="0" fontId="3" fillId="0" borderId="16" xfId="0" applyFont="1" applyBorder="1"/>
    <xf numFmtId="0" fontId="3" fillId="0" borderId="17" xfId="0" applyFont="1" applyBorder="1"/>
    <xf numFmtId="164" fontId="27" fillId="12" borderId="16" xfId="0" applyNumberFormat="1" applyFont="1" applyFill="1" applyBorder="1"/>
    <xf numFmtId="0" fontId="31" fillId="12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796"/>
  <sheetViews>
    <sheetView tabSelected="1" view="pageBreakPreview" zoomScale="60" zoomScaleNormal="85" workbookViewId="0">
      <pane xSplit="8" ySplit="6" topLeftCell="I780" activePane="bottomRight" state="frozen"/>
      <selection pane="topRight" activeCell="I1" sqref="I1"/>
      <selection pane="bottomLeft" activeCell="A7" sqref="A7"/>
      <selection pane="bottomRight" activeCell="I800" sqref="I800"/>
    </sheetView>
  </sheetViews>
  <sheetFormatPr defaultColWidth="12.5703125" defaultRowHeight="15.75" customHeight="1" x14ac:dyDescent="0.2"/>
  <cols>
    <col min="1" max="6" width="3.28515625" customWidth="1"/>
    <col min="7" max="7" width="61.42578125" customWidth="1"/>
    <col min="8" max="8" width="9.42578125" customWidth="1"/>
    <col min="9" max="10" width="19.85546875" bestFit="1" customWidth="1"/>
    <col min="11" max="11" width="15" bestFit="1" customWidth="1"/>
    <col min="12" max="14" width="27.140625" bestFit="1" customWidth="1"/>
    <col min="15" max="16" width="12.42578125" bestFit="1" customWidth="1"/>
    <col min="17" max="19" width="24.42578125" bestFit="1" customWidth="1"/>
    <col min="20" max="21" width="12.42578125" bestFit="1" customWidth="1"/>
  </cols>
  <sheetData>
    <row r="1" spans="1:21" ht="19.5" x14ac:dyDescent="0.3">
      <c r="A1" s="508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</row>
    <row r="2" spans="1:21" ht="19.5" x14ac:dyDescent="0.3">
      <c r="A2" s="508" t="s">
        <v>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</row>
    <row r="3" spans="1:21" ht="19.5" x14ac:dyDescent="0.3">
      <c r="A3" s="509" t="s">
        <v>303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</row>
    <row r="4" spans="1:21" ht="19.5" x14ac:dyDescent="0.2">
      <c r="A4" s="514" t="s">
        <v>2</v>
      </c>
      <c r="B4" s="515"/>
      <c r="C4" s="515"/>
      <c r="D4" s="515"/>
      <c r="E4" s="515"/>
      <c r="F4" s="515"/>
      <c r="G4" s="516"/>
      <c r="H4" s="521" t="s">
        <v>3</v>
      </c>
      <c r="I4" s="524" t="s">
        <v>4</v>
      </c>
      <c r="J4" s="515"/>
      <c r="K4" s="516"/>
      <c r="L4" s="525" t="s">
        <v>5</v>
      </c>
      <c r="M4" s="526"/>
      <c r="N4" s="526"/>
      <c r="O4" s="526"/>
      <c r="P4" s="527"/>
      <c r="Q4" s="528" t="s">
        <v>6</v>
      </c>
      <c r="R4" s="526"/>
      <c r="S4" s="526"/>
      <c r="T4" s="526"/>
      <c r="U4" s="527"/>
    </row>
    <row r="5" spans="1:21" ht="19.5" x14ac:dyDescent="0.2">
      <c r="A5" s="517"/>
      <c r="B5" s="518"/>
      <c r="C5" s="518"/>
      <c r="D5" s="518"/>
      <c r="E5" s="518"/>
      <c r="F5" s="518"/>
      <c r="G5" s="519"/>
      <c r="H5" s="522"/>
      <c r="I5" s="520"/>
      <c r="J5" s="513"/>
      <c r="K5" s="511"/>
      <c r="L5" s="530" t="s">
        <v>7</v>
      </c>
      <c r="M5" s="511"/>
      <c r="N5" s="512" t="s">
        <v>8</v>
      </c>
      <c r="O5" s="513"/>
      <c r="P5" s="511"/>
      <c r="Q5" s="510" t="s">
        <v>7</v>
      </c>
      <c r="R5" s="511"/>
      <c r="S5" s="512" t="s">
        <v>8</v>
      </c>
      <c r="T5" s="513"/>
      <c r="U5" s="511"/>
    </row>
    <row r="6" spans="1:21" ht="39" x14ac:dyDescent="0.2">
      <c r="A6" s="520"/>
      <c r="B6" s="513"/>
      <c r="C6" s="513"/>
      <c r="D6" s="513"/>
      <c r="E6" s="513"/>
      <c r="F6" s="513"/>
      <c r="G6" s="511"/>
      <c r="H6" s="523"/>
      <c r="I6" s="1" t="s">
        <v>9</v>
      </c>
      <c r="J6" s="2" t="s">
        <v>10</v>
      </c>
      <c r="K6" s="1" t="s">
        <v>11</v>
      </c>
      <c r="L6" s="3" t="s">
        <v>12</v>
      </c>
      <c r="M6" s="4" t="s">
        <v>13</v>
      </c>
      <c r="N6" s="5" t="s">
        <v>14</v>
      </c>
      <c r="O6" s="3" t="s">
        <v>15</v>
      </c>
      <c r="P6" s="4" t="s">
        <v>16</v>
      </c>
      <c r="Q6" s="6" t="s">
        <v>12</v>
      </c>
      <c r="R6" s="4" t="s">
        <v>13</v>
      </c>
      <c r="S6" s="5" t="s">
        <v>14</v>
      </c>
      <c r="T6" s="3" t="s">
        <v>15</v>
      </c>
      <c r="U6" s="4" t="s">
        <v>16</v>
      </c>
    </row>
    <row r="7" spans="1:21" ht="12.75" hidden="1" x14ac:dyDescent="0.2">
      <c r="A7" s="529"/>
      <c r="B7" s="513"/>
      <c r="C7" s="513"/>
      <c r="D7" s="513"/>
      <c r="E7" s="513"/>
      <c r="F7" s="513"/>
      <c r="G7" s="511"/>
      <c r="H7" s="8"/>
      <c r="I7" s="9"/>
      <c r="J7" s="9"/>
      <c r="K7" s="10"/>
      <c r="L7" s="10"/>
      <c r="M7" s="10"/>
      <c r="N7" s="10"/>
      <c r="O7" s="10"/>
      <c r="P7" s="10"/>
      <c r="Q7" s="11"/>
      <c r="R7" s="10"/>
      <c r="S7" s="10"/>
      <c r="T7" s="10"/>
      <c r="U7" s="10"/>
    </row>
    <row r="8" spans="1:21" ht="12.75" hidden="1" x14ac:dyDescent="0.2">
      <c r="A8" s="12"/>
      <c r="B8" s="13"/>
      <c r="C8" s="13"/>
      <c r="D8" s="13"/>
      <c r="E8" s="13"/>
      <c r="F8" s="13"/>
      <c r="G8" s="14"/>
      <c r="H8" s="14"/>
      <c r="I8" s="15"/>
      <c r="J8" s="15"/>
      <c r="K8" s="16"/>
      <c r="L8" s="16"/>
      <c r="M8" s="16"/>
      <c r="N8" s="16"/>
      <c r="O8" s="16"/>
      <c r="P8" s="16"/>
      <c r="Q8" s="17"/>
      <c r="R8" s="16"/>
      <c r="S8" s="16"/>
      <c r="T8" s="16"/>
      <c r="U8" s="16"/>
    </row>
    <row r="9" spans="1:21" ht="12.75" hidden="1" x14ac:dyDescent="0.2">
      <c r="A9" s="12"/>
      <c r="B9" s="13"/>
      <c r="C9" s="13"/>
      <c r="D9" s="13"/>
      <c r="E9" s="13"/>
      <c r="F9" s="13"/>
      <c r="G9" s="14"/>
      <c r="H9" s="14"/>
      <c r="I9" s="15"/>
      <c r="J9" s="15"/>
      <c r="K9" s="16"/>
      <c r="L9" s="16"/>
      <c r="M9" s="16"/>
      <c r="N9" s="16"/>
      <c r="O9" s="16"/>
      <c r="P9" s="16"/>
      <c r="Q9" s="17"/>
      <c r="R9" s="16"/>
      <c r="S9" s="16"/>
      <c r="T9" s="16"/>
      <c r="U9" s="16"/>
    </row>
    <row r="10" spans="1:21" ht="12.75" hidden="1" x14ac:dyDescent="0.2">
      <c r="A10" s="12"/>
      <c r="B10" s="13"/>
      <c r="C10" s="13"/>
      <c r="D10" s="13"/>
      <c r="E10" s="13"/>
      <c r="F10" s="13"/>
      <c r="G10" s="14"/>
      <c r="H10" s="14"/>
      <c r="I10" s="15"/>
      <c r="J10" s="15"/>
      <c r="K10" s="16"/>
      <c r="L10" s="16"/>
      <c r="M10" s="16"/>
      <c r="N10" s="16"/>
      <c r="O10" s="16"/>
      <c r="P10" s="16"/>
      <c r="Q10" s="17"/>
      <c r="R10" s="16"/>
      <c r="S10" s="16"/>
      <c r="T10" s="16"/>
      <c r="U10" s="16"/>
    </row>
    <row r="11" spans="1:21" ht="12.75" hidden="1" x14ac:dyDescent="0.2">
      <c r="A11" s="12"/>
      <c r="B11" s="13"/>
      <c r="C11" s="13"/>
      <c r="D11" s="13"/>
      <c r="E11" s="13"/>
      <c r="F11" s="13"/>
      <c r="G11" s="14"/>
      <c r="H11" s="14"/>
      <c r="I11" s="15"/>
      <c r="J11" s="15"/>
      <c r="K11" s="16"/>
      <c r="L11" s="16"/>
      <c r="M11" s="16"/>
      <c r="N11" s="16"/>
      <c r="O11" s="16"/>
      <c r="P11" s="16"/>
      <c r="Q11" s="17"/>
      <c r="R11" s="16"/>
      <c r="S11" s="16"/>
      <c r="T11" s="16"/>
      <c r="U11" s="16"/>
    </row>
    <row r="12" spans="1:21" ht="12.75" hidden="1" x14ac:dyDescent="0.2">
      <c r="A12" s="12"/>
      <c r="B12" s="13"/>
      <c r="C12" s="13"/>
      <c r="D12" s="13"/>
      <c r="E12" s="13"/>
      <c r="F12" s="13"/>
      <c r="G12" s="14"/>
      <c r="H12" s="14"/>
      <c r="I12" s="15"/>
      <c r="J12" s="15"/>
      <c r="K12" s="16"/>
      <c r="L12" s="16"/>
      <c r="M12" s="16"/>
      <c r="N12" s="16"/>
      <c r="O12" s="16"/>
      <c r="P12" s="16"/>
      <c r="Q12" s="17"/>
      <c r="R12" s="16"/>
      <c r="S12" s="16"/>
      <c r="T12" s="16"/>
      <c r="U12" s="16"/>
    </row>
    <row r="13" spans="1:21" ht="12.75" hidden="1" x14ac:dyDescent="0.2">
      <c r="A13" s="12"/>
      <c r="B13" s="13"/>
      <c r="C13" s="13"/>
      <c r="D13" s="13"/>
      <c r="E13" s="13"/>
      <c r="F13" s="13"/>
      <c r="G13" s="14"/>
      <c r="H13" s="14"/>
      <c r="I13" s="15"/>
      <c r="J13" s="15"/>
      <c r="K13" s="16"/>
      <c r="L13" s="16"/>
      <c r="M13" s="16"/>
      <c r="N13" s="16"/>
      <c r="O13" s="16"/>
      <c r="P13" s="16"/>
      <c r="Q13" s="17"/>
      <c r="R13" s="16"/>
      <c r="S13" s="16"/>
      <c r="T13" s="16"/>
      <c r="U13" s="16"/>
    </row>
    <row r="14" spans="1:21" ht="12.75" hidden="1" x14ac:dyDescent="0.2">
      <c r="A14" s="12"/>
      <c r="B14" s="13"/>
      <c r="C14" s="13"/>
      <c r="D14" s="13"/>
      <c r="E14" s="13"/>
      <c r="F14" s="13"/>
      <c r="G14" s="14"/>
      <c r="H14" s="14"/>
      <c r="I14" s="15"/>
      <c r="J14" s="15"/>
      <c r="K14" s="16"/>
      <c r="L14" s="16"/>
      <c r="M14" s="16"/>
      <c r="N14" s="16"/>
      <c r="O14" s="16"/>
      <c r="P14" s="16"/>
      <c r="Q14" s="17"/>
      <c r="R14" s="16"/>
      <c r="S14" s="16"/>
      <c r="T14" s="16"/>
      <c r="U14" s="16"/>
    </row>
    <row r="15" spans="1:21" ht="12.75" hidden="1" x14ac:dyDescent="0.2">
      <c r="A15" s="12"/>
      <c r="B15" s="13"/>
      <c r="C15" s="13"/>
      <c r="D15" s="13"/>
      <c r="E15" s="13"/>
      <c r="F15" s="13"/>
      <c r="G15" s="14"/>
      <c r="H15" s="14"/>
      <c r="I15" s="15"/>
      <c r="J15" s="15"/>
      <c r="K15" s="16"/>
      <c r="L15" s="16"/>
      <c r="M15" s="16"/>
      <c r="N15" s="16"/>
      <c r="O15" s="16"/>
      <c r="P15" s="16"/>
      <c r="Q15" s="17"/>
      <c r="R15" s="16"/>
      <c r="S15" s="16"/>
      <c r="T15" s="16"/>
      <c r="U15" s="16"/>
    </row>
    <row r="16" spans="1:21" ht="12.75" hidden="1" x14ac:dyDescent="0.2">
      <c r="A16" s="7"/>
      <c r="B16" s="18"/>
      <c r="C16" s="18"/>
      <c r="D16" s="18"/>
      <c r="E16" s="18"/>
      <c r="F16" s="18"/>
      <c r="G16" s="8"/>
      <c r="H16" s="8"/>
      <c r="I16" s="9"/>
      <c r="J16" s="9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0"/>
    </row>
    <row r="17" spans="1:21" ht="19.5" x14ac:dyDescent="0.3">
      <c r="A17" s="531" t="s">
        <v>17</v>
      </c>
      <c r="B17" s="513"/>
      <c r="C17" s="513"/>
      <c r="D17" s="513"/>
      <c r="E17" s="513"/>
      <c r="F17" s="513"/>
      <c r="G17" s="511"/>
      <c r="H17" s="19"/>
      <c r="I17" s="20"/>
      <c r="J17" s="20"/>
      <c r="K17" s="21"/>
      <c r="L17" s="21"/>
      <c r="M17" s="21"/>
      <c r="N17" s="21"/>
      <c r="O17" s="21"/>
      <c r="P17" s="21"/>
      <c r="Q17" s="22"/>
      <c r="R17" s="21"/>
      <c r="S17" s="21"/>
      <c r="T17" s="21"/>
      <c r="U17" s="21"/>
    </row>
    <row r="18" spans="1:21" ht="19.5" x14ac:dyDescent="0.3">
      <c r="A18" s="23"/>
      <c r="B18" s="24"/>
      <c r="C18" s="25" t="s">
        <v>18</v>
      </c>
      <c r="D18" s="26" t="s">
        <v>19</v>
      </c>
      <c r="E18" s="24"/>
      <c r="F18" s="24"/>
      <c r="G18" s="27"/>
      <c r="H18" s="28" t="s">
        <v>14</v>
      </c>
      <c r="I18" s="29"/>
      <c r="J18" s="29"/>
      <c r="K18" s="30"/>
      <c r="L18" s="31">
        <f t="shared" ref="L18:N18" ca="1" si="0">L19+L20</f>
        <v>1449794900</v>
      </c>
      <c r="M18" s="31">
        <f t="shared" ca="1" si="0"/>
        <v>1495480227.24</v>
      </c>
      <c r="N18" s="31">
        <f t="shared" ca="1" si="0"/>
        <v>1390999458.79</v>
      </c>
      <c r="O18" s="31">
        <f t="shared" ref="O18:O26" ca="1" si="1">IF(L18&gt;0,N18*100/L18,0)</f>
        <v>95.944568351702713</v>
      </c>
      <c r="P18" s="31">
        <f t="shared" ref="P18:P26" ca="1" si="2">IF(M18&gt;0,N18*100/M18,0)</f>
        <v>93.013564034689665</v>
      </c>
      <c r="Q18" s="31">
        <f t="shared" ref="Q18:S18" ca="1" si="3">Q19+Q20</f>
        <v>217034488</v>
      </c>
      <c r="R18" s="31">
        <f t="shared" ca="1" si="3"/>
        <v>221405955.5</v>
      </c>
      <c r="S18" s="31">
        <f t="shared" ca="1" si="3"/>
        <v>163733599.9599998</v>
      </c>
      <c r="T18" s="31">
        <f t="shared" ref="T18:T26" ca="1" si="4">IF(Q18&gt;0,S18*100/Q18,0)</f>
        <v>75.441281921977222</v>
      </c>
      <c r="U18" s="31">
        <f t="shared" ref="U18:U26" ca="1" si="5">IF(R18&gt;0,S18*100/R18,0)</f>
        <v>73.951759603864772</v>
      </c>
    </row>
    <row r="19" spans="1:21" ht="18.75" x14ac:dyDescent="0.25">
      <c r="A19" s="23"/>
      <c r="B19" s="24"/>
      <c r="C19" s="24"/>
      <c r="D19" s="24"/>
      <c r="E19" s="32" t="s">
        <v>20</v>
      </c>
      <c r="F19" s="24"/>
      <c r="G19" s="27"/>
      <c r="H19" s="33" t="s">
        <v>14</v>
      </c>
      <c r="I19" s="29"/>
      <c r="J19" s="29"/>
      <c r="K19" s="30"/>
      <c r="L19" s="34">
        <f t="shared" ref="L19:N19" ca="1" si="6">L22+L25+L28</f>
        <v>1083050758</v>
      </c>
      <c r="M19" s="34">
        <f t="shared" ca="1" si="6"/>
        <v>1053422368.6400001</v>
      </c>
      <c r="N19" s="34">
        <f t="shared" ca="1" si="6"/>
        <v>966502869.07000005</v>
      </c>
      <c r="O19" s="34">
        <f t="shared" ca="1" si="1"/>
        <v>89.238926424351391</v>
      </c>
      <c r="P19" s="34">
        <f t="shared" ca="1" si="2"/>
        <v>91.748846221842072</v>
      </c>
      <c r="Q19" s="34">
        <f ca="1">Q73+Q95+Q118+Q140+Q158+Q174+Q187+Q267+Q283+Q304+Q321+Q334+Q357+Q374+Q391+Q412+Q492+Q598+Q615+Q641+Q689+Q708+Q722+Q754+Q773</f>
        <v>42637230.090000004</v>
      </c>
      <c r="R19" s="34">
        <f ca="1">R73+R95+R118+R140+R158+R174+R187+R267+R283+R304+R321+R334+R357+R374+R391+R412+R492+R598+R615+R641+R689+R708+R722+R754+R773</f>
        <v>40822236</v>
      </c>
      <c r="S19" s="34">
        <f ca="1">S73+S95+S118+S140+S158+S174+S187+S267+S283+S304+S321+S334+S357+S374+S391+S412+S492+S598+S615+S641+S689+S708+S722+S754+S773</f>
        <v>22499831.659999996</v>
      </c>
      <c r="T19" s="34">
        <f t="shared" ca="1" si="4"/>
        <v>52.770387786698727</v>
      </c>
      <c r="U19" s="34">
        <f t="shared" ca="1" si="5"/>
        <v>55.116607674307687</v>
      </c>
    </row>
    <row r="20" spans="1:21" ht="18.75" x14ac:dyDescent="0.25">
      <c r="A20" s="23"/>
      <c r="B20" s="24"/>
      <c r="C20" s="24"/>
      <c r="D20" s="24"/>
      <c r="E20" s="32" t="s">
        <v>21</v>
      </c>
      <c r="F20" s="24"/>
      <c r="G20" s="27"/>
      <c r="H20" s="33" t="s">
        <v>14</v>
      </c>
      <c r="I20" s="29"/>
      <c r="J20" s="29"/>
      <c r="K20" s="30"/>
      <c r="L20" s="34">
        <f t="shared" ref="L20:N20" ca="1" si="7">L23+L26+L29</f>
        <v>366744142</v>
      </c>
      <c r="M20" s="34">
        <f t="shared" ca="1" si="7"/>
        <v>442057858.59999996</v>
      </c>
      <c r="N20" s="34">
        <f t="shared" ca="1" si="7"/>
        <v>424496589.71999997</v>
      </c>
      <c r="O20" s="34">
        <f t="shared" ca="1" si="1"/>
        <v>115.74734020427789</v>
      </c>
      <c r="P20" s="34">
        <f t="shared" ca="1" si="2"/>
        <v>96.027382267195378</v>
      </c>
      <c r="Q20" s="34">
        <f ca="1">Q46+Q61+Q74+Q96+Q119+Q141+Q159+Q188+Q175+Q268+Q284+Q305+Q322+Q335+Q358+Q375+Q392+Q413+Q493+Q513+Q534+Q555+Q576+Q599+Q616+Q642+Q690+Q709+Q723+Q755+Q774</f>
        <v>174397257.91</v>
      </c>
      <c r="R20" s="34">
        <f ca="1">R46+R61+R74+R96+R119+R141+R159+R188+R175+R268+R284+R305+R322+R335+R358+R375+R392+R413+R493+R513+R534+R555+R576+R599+R616+R642+R690+R709+R723+R755+R774</f>
        <v>180583719.5</v>
      </c>
      <c r="S20" s="34">
        <f ca="1">S46+S61+S74+S96+S119+S141+S159+S188+S175+S268+S284+S305+S322+S335+S358+S375+S392+S413+S493+S513+S534+S555+S576+S599+S616+S642+S690+S709+S723+S755+S774</f>
        <v>141233768.2999998</v>
      </c>
      <c r="T20" s="34">
        <f t="shared" ca="1" si="4"/>
        <v>80.983938619542613</v>
      </c>
      <c r="U20" s="34">
        <f t="shared" ca="1" si="5"/>
        <v>78.209579850856827</v>
      </c>
    </row>
    <row r="21" spans="1:21" ht="18.75" x14ac:dyDescent="0.25">
      <c r="A21" s="35"/>
      <c r="B21" s="36"/>
      <c r="C21" s="36"/>
      <c r="D21" s="37" t="s">
        <v>22</v>
      </c>
      <c r="E21" s="36"/>
      <c r="F21" s="36"/>
      <c r="G21" s="38"/>
      <c r="H21" s="39" t="s">
        <v>14</v>
      </c>
      <c r="I21" s="40"/>
      <c r="J21" s="40"/>
      <c r="K21" s="41"/>
      <c r="L21" s="42">
        <f t="shared" ref="L21:N21" ca="1" si="8">L22+L23</f>
        <v>418862600</v>
      </c>
      <c r="M21" s="42">
        <f t="shared" ca="1" si="8"/>
        <v>423819113.35000002</v>
      </c>
      <c r="N21" s="42">
        <f t="shared" ca="1" si="8"/>
        <v>421257244.89999998</v>
      </c>
      <c r="O21" s="42">
        <f t="shared" ca="1" si="1"/>
        <v>100.57170177046125</v>
      </c>
      <c r="P21" s="42">
        <f t="shared" ca="1" si="2"/>
        <v>99.395527863349486</v>
      </c>
      <c r="Q21" s="42">
        <f t="shared" ref="Q21:S21" si="9">Q22+Q23</f>
        <v>0</v>
      </c>
      <c r="R21" s="42">
        <f t="shared" si="9"/>
        <v>0</v>
      </c>
      <c r="S21" s="42">
        <f t="shared" si="9"/>
        <v>0</v>
      </c>
      <c r="T21" s="42">
        <f t="shared" si="4"/>
        <v>0</v>
      </c>
      <c r="U21" s="42">
        <f t="shared" si="5"/>
        <v>0</v>
      </c>
    </row>
    <row r="22" spans="1:21" ht="18.75" x14ac:dyDescent="0.25">
      <c r="A22" s="35"/>
      <c r="B22" s="36"/>
      <c r="C22" s="36"/>
      <c r="D22" s="36"/>
      <c r="E22" s="43" t="s">
        <v>20</v>
      </c>
      <c r="F22" s="36"/>
      <c r="G22" s="38"/>
      <c r="H22" s="39" t="s">
        <v>14</v>
      </c>
      <c r="I22" s="40"/>
      <c r="J22" s="40"/>
      <c r="K22" s="41"/>
      <c r="L22" s="42">
        <f t="shared" ref="L22:N23" ca="1" si="10">L48+L63+L76+L98+L121+L143+L161+L190+L177+L270+L286+L307+L324+L337+L360+L377+L394+L415+L495+L515+L536+L557+L578+L601+L618+L644+L692+L711+L725+L757</f>
        <v>185877158</v>
      </c>
      <c r="M22" s="42">
        <f t="shared" ca="1" si="10"/>
        <v>159632842.30000001</v>
      </c>
      <c r="N22" s="42">
        <f t="shared" ca="1" si="10"/>
        <v>157247342.63</v>
      </c>
      <c r="O22" s="42">
        <f t="shared" ca="1" si="1"/>
        <v>84.597453674216382</v>
      </c>
      <c r="P22" s="42">
        <f t="shared" ca="1" si="2"/>
        <v>98.505633530275105</v>
      </c>
      <c r="Q22" s="42">
        <v>0</v>
      </c>
      <c r="R22" s="42">
        <v>0</v>
      </c>
      <c r="S22" s="42">
        <v>0</v>
      </c>
      <c r="T22" s="42">
        <f t="shared" si="4"/>
        <v>0</v>
      </c>
      <c r="U22" s="42">
        <f t="shared" si="5"/>
        <v>0</v>
      </c>
    </row>
    <row r="23" spans="1:21" ht="18.75" x14ac:dyDescent="0.25">
      <c r="A23" s="35"/>
      <c r="B23" s="36"/>
      <c r="C23" s="36"/>
      <c r="D23" s="36"/>
      <c r="E23" s="43" t="s">
        <v>21</v>
      </c>
      <c r="F23" s="36"/>
      <c r="G23" s="38"/>
      <c r="H23" s="39" t="s">
        <v>14</v>
      </c>
      <c r="I23" s="40"/>
      <c r="J23" s="40"/>
      <c r="K23" s="41"/>
      <c r="L23" s="42">
        <f t="shared" ca="1" si="10"/>
        <v>232985442</v>
      </c>
      <c r="M23" s="42">
        <f t="shared" ca="1" si="10"/>
        <v>264186271.04999998</v>
      </c>
      <c r="N23" s="42">
        <f t="shared" ca="1" si="10"/>
        <v>264009902.26999998</v>
      </c>
      <c r="O23" s="42">
        <f t="shared" ca="1" si="1"/>
        <v>113.3160509960103</v>
      </c>
      <c r="P23" s="42">
        <f t="shared" ca="1" si="2"/>
        <v>99.933240747409386</v>
      </c>
      <c r="Q23" s="42">
        <v>0</v>
      </c>
      <c r="R23" s="42">
        <v>0</v>
      </c>
      <c r="S23" s="42">
        <v>0</v>
      </c>
      <c r="T23" s="42">
        <f t="shared" si="4"/>
        <v>0</v>
      </c>
      <c r="U23" s="42">
        <f t="shared" si="5"/>
        <v>0</v>
      </c>
    </row>
    <row r="24" spans="1:21" ht="18.75" x14ac:dyDescent="0.25">
      <c r="A24" s="35"/>
      <c r="B24" s="36"/>
      <c r="C24" s="36"/>
      <c r="D24" s="37" t="s">
        <v>23</v>
      </c>
      <c r="E24" s="36"/>
      <c r="F24" s="36"/>
      <c r="G24" s="38"/>
      <c r="H24" s="39" t="s">
        <v>14</v>
      </c>
      <c r="I24" s="40"/>
      <c r="J24" s="40"/>
      <c r="K24" s="41"/>
      <c r="L24" s="42">
        <f t="shared" ref="L24:N24" ca="1" si="11">L25+L26</f>
        <v>259698900</v>
      </c>
      <c r="M24" s="42">
        <f t="shared" ca="1" si="11"/>
        <v>247533801.63</v>
      </c>
      <c r="N24" s="42">
        <f t="shared" ca="1" si="11"/>
        <v>145614901.63</v>
      </c>
      <c r="O24" s="42">
        <f t="shared" ca="1" si="1"/>
        <v>56.070665539977256</v>
      </c>
      <c r="P24" s="42">
        <f t="shared" ca="1" si="2"/>
        <v>58.826269653328879</v>
      </c>
      <c r="Q24" s="42">
        <f t="shared" ref="Q24:S24" ca="1" si="12">Q25+Q26</f>
        <v>0</v>
      </c>
      <c r="R24" s="42">
        <f t="shared" ca="1" si="12"/>
        <v>0</v>
      </c>
      <c r="S24" s="42">
        <f t="shared" ca="1" si="12"/>
        <v>0</v>
      </c>
      <c r="T24" s="42">
        <f t="shared" ca="1" si="4"/>
        <v>0</v>
      </c>
      <c r="U24" s="42">
        <f t="shared" ca="1" si="5"/>
        <v>0</v>
      </c>
    </row>
    <row r="25" spans="1:21" ht="18.75" x14ac:dyDescent="0.25">
      <c r="A25" s="35"/>
      <c r="B25" s="36"/>
      <c r="C25" s="36"/>
      <c r="D25" s="36"/>
      <c r="E25" s="43" t="s">
        <v>20</v>
      </c>
      <c r="F25" s="36"/>
      <c r="G25" s="38"/>
      <c r="H25" s="39" t="s">
        <v>14</v>
      </c>
      <c r="I25" s="40"/>
      <c r="J25" s="40"/>
      <c r="K25" s="41"/>
      <c r="L25" s="42">
        <f t="shared" ref="L25:N26" ca="1" si="13">L51+L66+L79+L101+L124+L146+L164+L193+L180+L273+L289+L310+L327+L340+L363+L380+L397+L418+L498+L518+L539+L560+L581+L604+L621+L647+L695+L714+L728+L760</f>
        <v>125940200</v>
      </c>
      <c r="M25" s="42">
        <f t="shared" ca="1" si="13"/>
        <v>125193620</v>
      </c>
      <c r="N25" s="42">
        <f t="shared" ca="1" si="13"/>
        <v>40659620</v>
      </c>
      <c r="O25" s="42">
        <f t="shared" ca="1" si="1"/>
        <v>32.284862180622234</v>
      </c>
      <c r="P25" s="42">
        <f t="shared" ca="1" si="2"/>
        <v>32.477389822260911</v>
      </c>
      <c r="Q25" s="42">
        <f t="shared" ref="Q25:S26" ca="1" si="14">Q51+Q66+Q79+Q101+Q124+Q146+Q164+Q193+Q180+Q273+Q289+Q310+Q327+Q340+Q363+Q380+Q397+Q418+Q498+Q518+Q539+Q560+Q581+Q604+Q621+Q647+Q695+Q714+Q728+Q760+Q779</f>
        <v>0</v>
      </c>
      <c r="R25" s="42">
        <f t="shared" ca="1" si="14"/>
        <v>0</v>
      </c>
      <c r="S25" s="42">
        <f t="shared" ca="1" si="14"/>
        <v>0</v>
      </c>
      <c r="T25" s="42">
        <f t="shared" ca="1" si="4"/>
        <v>0</v>
      </c>
      <c r="U25" s="42">
        <f t="shared" ca="1" si="5"/>
        <v>0</v>
      </c>
    </row>
    <row r="26" spans="1:21" ht="18.75" x14ac:dyDescent="0.25">
      <c r="A26" s="35"/>
      <c r="B26" s="36"/>
      <c r="C26" s="36"/>
      <c r="D26" s="36"/>
      <c r="E26" s="43" t="s">
        <v>21</v>
      </c>
      <c r="F26" s="36"/>
      <c r="G26" s="38"/>
      <c r="H26" s="39" t="s">
        <v>14</v>
      </c>
      <c r="I26" s="40"/>
      <c r="J26" s="40"/>
      <c r="K26" s="41"/>
      <c r="L26" s="42">
        <f t="shared" ca="1" si="13"/>
        <v>133758700</v>
      </c>
      <c r="M26" s="42">
        <f t="shared" ca="1" si="13"/>
        <v>122340181.63</v>
      </c>
      <c r="N26" s="42">
        <f t="shared" ca="1" si="13"/>
        <v>104955281.63</v>
      </c>
      <c r="O26" s="42">
        <f t="shared" ca="1" si="1"/>
        <v>78.466134636475985</v>
      </c>
      <c r="P26" s="42">
        <f t="shared" ca="1" si="2"/>
        <v>85.789705582930978</v>
      </c>
      <c r="Q26" s="42">
        <f t="shared" ca="1" si="14"/>
        <v>0</v>
      </c>
      <c r="R26" s="42">
        <f t="shared" ca="1" si="14"/>
        <v>0</v>
      </c>
      <c r="S26" s="42">
        <f t="shared" ca="1" si="14"/>
        <v>0</v>
      </c>
      <c r="T26" s="42">
        <f t="shared" ca="1" si="4"/>
        <v>0</v>
      </c>
      <c r="U26" s="42">
        <f t="shared" ca="1" si="5"/>
        <v>0</v>
      </c>
    </row>
    <row r="27" spans="1:21" ht="18.75" x14ac:dyDescent="0.25">
      <c r="A27" s="35"/>
      <c r="B27" s="36"/>
      <c r="C27" s="36"/>
      <c r="D27" s="44" t="s">
        <v>24</v>
      </c>
      <c r="E27" s="36"/>
      <c r="F27" s="36"/>
      <c r="G27" s="38"/>
      <c r="H27" s="39" t="s">
        <v>14</v>
      </c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ht="18.75" x14ac:dyDescent="0.25">
      <c r="A28" s="35"/>
      <c r="B28" s="36"/>
      <c r="C28" s="36"/>
      <c r="D28" s="36"/>
      <c r="E28" s="43" t="s">
        <v>20</v>
      </c>
      <c r="F28" s="36"/>
      <c r="G28" s="38"/>
      <c r="H28" s="39" t="s">
        <v>14</v>
      </c>
      <c r="I28" s="40"/>
      <c r="J28" s="40"/>
      <c r="K28" s="41"/>
      <c r="L28" s="45">
        <f t="shared" ref="L28:N28" ca="1" si="15">L54</f>
        <v>771233400</v>
      </c>
      <c r="M28" s="45">
        <f t="shared" ca="1" si="15"/>
        <v>768595906.34000003</v>
      </c>
      <c r="N28" s="45">
        <f t="shared" ca="1" si="15"/>
        <v>768595906.44000006</v>
      </c>
      <c r="O28" s="45">
        <f t="shared" ref="O28:O29" ca="1" si="16">IF(L28&gt;0,N28*100/L28,0)</f>
        <v>99.658016164756347</v>
      </c>
      <c r="P28" s="45">
        <f t="shared" ref="P28:P29" ca="1" si="17">IF(M28&gt;0,N28*100/M28,0)</f>
        <v>100.00000001301073</v>
      </c>
      <c r="Q28" s="45"/>
      <c r="R28" s="45"/>
      <c r="S28" s="45"/>
      <c r="T28" s="41"/>
      <c r="U28" s="41"/>
    </row>
    <row r="29" spans="1:21" ht="18.75" x14ac:dyDescent="0.25">
      <c r="A29" s="46"/>
      <c r="B29" s="47"/>
      <c r="C29" s="47"/>
      <c r="D29" s="47"/>
      <c r="E29" s="48" t="s">
        <v>21</v>
      </c>
      <c r="F29" s="47"/>
      <c r="G29" s="49"/>
      <c r="H29" s="50" t="s">
        <v>14</v>
      </c>
      <c r="I29" s="51"/>
      <c r="J29" s="51"/>
      <c r="K29" s="52"/>
      <c r="L29" s="53">
        <f t="shared" ref="L29:N29" ca="1" si="18">L55</f>
        <v>0</v>
      </c>
      <c r="M29" s="53">
        <f t="shared" ca="1" si="18"/>
        <v>55531405.920000002</v>
      </c>
      <c r="N29" s="53">
        <f t="shared" ca="1" si="18"/>
        <v>55531405.82</v>
      </c>
      <c r="O29" s="53">
        <f t="shared" ca="1" si="16"/>
        <v>0</v>
      </c>
      <c r="P29" s="53">
        <f t="shared" ca="1" si="17"/>
        <v>99.999999819921712</v>
      </c>
      <c r="Q29" s="53"/>
      <c r="R29" s="53"/>
      <c r="S29" s="53"/>
      <c r="T29" s="52"/>
      <c r="U29" s="52"/>
    </row>
    <row r="30" spans="1:21" ht="12.75" hidden="1" x14ac:dyDescent="0.2">
      <c r="A30" s="532"/>
      <c r="B30" s="513"/>
      <c r="C30" s="513"/>
      <c r="D30" s="513"/>
      <c r="E30" s="513"/>
      <c r="F30" s="513"/>
      <c r="G30" s="511"/>
      <c r="H30" s="55"/>
      <c r="I30" s="56"/>
      <c r="J30" s="56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1" ht="12.75" hidden="1" x14ac:dyDescent="0.2">
      <c r="A31" s="58"/>
      <c r="B31" s="59"/>
      <c r="C31" s="59"/>
      <c r="D31" s="59"/>
      <c r="E31" s="59"/>
      <c r="F31" s="59"/>
      <c r="G31" s="60"/>
      <c r="H31" s="60"/>
      <c r="I31" s="61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ht="12.75" hidden="1" x14ac:dyDescent="0.2">
      <c r="A32" s="58"/>
      <c r="B32" s="59"/>
      <c r="C32" s="59"/>
      <c r="D32" s="59"/>
      <c r="E32" s="59"/>
      <c r="F32" s="59"/>
      <c r="G32" s="60"/>
      <c r="H32" s="60"/>
      <c r="I32" s="61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1" ht="12.75" hidden="1" x14ac:dyDescent="0.2">
      <c r="A33" s="58"/>
      <c r="B33" s="59"/>
      <c r="C33" s="59"/>
      <c r="D33" s="59"/>
      <c r="E33" s="59"/>
      <c r="F33" s="59"/>
      <c r="G33" s="60"/>
      <c r="H33" s="60"/>
      <c r="I33" s="61"/>
      <c r="J33" s="61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1" ht="12.75" hidden="1" x14ac:dyDescent="0.2">
      <c r="A34" s="58"/>
      <c r="B34" s="59"/>
      <c r="C34" s="59"/>
      <c r="D34" s="59"/>
      <c r="E34" s="59"/>
      <c r="F34" s="59"/>
      <c r="G34" s="60"/>
      <c r="H34" s="60"/>
      <c r="I34" s="61"/>
      <c r="J34" s="61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1:21" ht="12.75" hidden="1" x14ac:dyDescent="0.2">
      <c r="A35" s="58"/>
      <c r="B35" s="59"/>
      <c r="C35" s="59"/>
      <c r="D35" s="59"/>
      <c r="E35" s="59"/>
      <c r="F35" s="59"/>
      <c r="G35" s="60"/>
      <c r="H35" s="60"/>
      <c r="I35" s="61"/>
      <c r="J35" s="61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1:21" ht="12.75" hidden="1" x14ac:dyDescent="0.2">
      <c r="A36" s="58"/>
      <c r="B36" s="59"/>
      <c r="C36" s="59"/>
      <c r="D36" s="59"/>
      <c r="E36" s="59"/>
      <c r="F36" s="59"/>
      <c r="G36" s="60"/>
      <c r="H36" s="60"/>
      <c r="I36" s="61"/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1:21" ht="12.75" hidden="1" x14ac:dyDescent="0.2">
      <c r="A37" s="58"/>
      <c r="B37" s="59"/>
      <c r="C37" s="59"/>
      <c r="D37" s="59"/>
      <c r="E37" s="59"/>
      <c r="F37" s="59"/>
      <c r="G37" s="60"/>
      <c r="H37" s="60"/>
      <c r="I37" s="61"/>
      <c r="J37" s="61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1:21" ht="12.75" hidden="1" x14ac:dyDescent="0.2">
      <c r="A38" s="58"/>
      <c r="B38" s="59"/>
      <c r="C38" s="59"/>
      <c r="D38" s="59"/>
      <c r="E38" s="59"/>
      <c r="F38" s="59"/>
      <c r="G38" s="60"/>
      <c r="H38" s="60"/>
      <c r="I38" s="61"/>
      <c r="J38" s="61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1:21" ht="12.75" hidden="1" x14ac:dyDescent="0.2">
      <c r="A39" s="54"/>
      <c r="B39" s="63"/>
      <c r="C39" s="63"/>
      <c r="D39" s="63"/>
      <c r="E39" s="63"/>
      <c r="F39" s="63"/>
      <c r="G39" s="55"/>
      <c r="H39" s="55"/>
      <c r="I39" s="56"/>
      <c r="J39" s="56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ht="19.5" hidden="1" x14ac:dyDescent="0.3">
      <c r="A40" s="64" t="s">
        <v>25</v>
      </c>
      <c r="B40" s="65"/>
      <c r="C40" s="65"/>
      <c r="D40" s="65"/>
      <c r="E40" s="65"/>
      <c r="F40" s="65"/>
      <c r="G40" s="66"/>
      <c r="H40" s="66"/>
      <c r="I40" s="67"/>
      <c r="J40" s="67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9.5" x14ac:dyDescent="0.3">
      <c r="A41" s="69" t="s">
        <v>26</v>
      </c>
      <c r="B41" s="70"/>
      <c r="C41" s="70"/>
      <c r="D41" s="70"/>
      <c r="E41" s="70"/>
      <c r="F41" s="70"/>
      <c r="G41" s="70"/>
      <c r="H41" s="70"/>
      <c r="I41" s="71"/>
      <c r="J41" s="71"/>
      <c r="K41" s="72"/>
      <c r="L41" s="72"/>
      <c r="M41" s="72"/>
      <c r="N41" s="72"/>
      <c r="O41" s="72"/>
      <c r="P41" s="73"/>
      <c r="Q41" s="72"/>
      <c r="R41" s="72"/>
      <c r="S41" s="72"/>
      <c r="T41" s="72"/>
      <c r="U41" s="73"/>
    </row>
    <row r="42" spans="1:21" ht="19.5" x14ac:dyDescent="0.3">
      <c r="A42" s="74"/>
      <c r="B42" s="75" t="s">
        <v>27</v>
      </c>
      <c r="C42" s="76"/>
      <c r="D42" s="76"/>
      <c r="E42" s="76"/>
      <c r="F42" s="76"/>
      <c r="G42" s="77"/>
      <c r="H42" s="77"/>
      <c r="I42" s="78"/>
      <c r="J42" s="78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 ht="12.75" hidden="1" x14ac:dyDescent="0.2">
      <c r="A43" s="58"/>
      <c r="B43" s="59"/>
      <c r="C43" s="59"/>
      <c r="D43" s="59"/>
      <c r="E43" s="59"/>
      <c r="F43" s="59"/>
      <c r="G43" s="60"/>
      <c r="H43" s="60"/>
      <c r="I43" s="61"/>
      <c r="J43" s="61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ht="19.5" x14ac:dyDescent="0.3">
      <c r="A44" s="80"/>
      <c r="B44" s="81"/>
      <c r="C44" s="82" t="s">
        <v>18</v>
      </c>
      <c r="D44" s="83" t="s">
        <v>19</v>
      </c>
      <c r="E44" s="81"/>
      <c r="F44" s="81"/>
      <c r="G44" s="84"/>
      <c r="H44" s="85" t="s">
        <v>14</v>
      </c>
      <c r="I44" s="86"/>
      <c r="J44" s="86"/>
      <c r="K44" s="87"/>
      <c r="L44" s="88">
        <f t="shared" ref="L44:N44" ca="1" si="19">L45+L46</f>
        <v>824735400</v>
      </c>
      <c r="M44" s="88">
        <f t="shared" ca="1" si="19"/>
        <v>877629312.25999999</v>
      </c>
      <c r="N44" s="88">
        <f t="shared" ca="1" si="19"/>
        <v>877628671.28999996</v>
      </c>
      <c r="O44" s="88">
        <f t="shared" ref="O44:O55" ca="1" si="20">IF(L44&gt;0,N44*100/L44,0)</f>
        <v>106.41336255118914</v>
      </c>
      <c r="P44" s="88">
        <f t="shared" ref="P44:P55" ca="1" si="21">IF(M44&gt;0,N44*100/M44,0)</f>
        <v>99.999926965748401</v>
      </c>
      <c r="Q44" s="88">
        <f t="shared" ref="Q44:S44" ca="1" si="22">Q45+Q46</f>
        <v>0</v>
      </c>
      <c r="R44" s="88">
        <f t="shared" ca="1" si="22"/>
        <v>0</v>
      </c>
      <c r="S44" s="88">
        <f t="shared" ca="1" si="22"/>
        <v>0</v>
      </c>
      <c r="T44" s="88">
        <f t="shared" ref="T44:T55" ca="1" si="23">IF(Q44&gt;0,S44*100/Q44,0)</f>
        <v>0</v>
      </c>
      <c r="U44" s="88">
        <f t="shared" ref="U44:U55" ca="1" si="24">IF(R44&gt;0,S44*100/R44,0)</f>
        <v>0</v>
      </c>
    </row>
    <row r="45" spans="1:21" ht="18.75" x14ac:dyDescent="0.25">
      <c r="A45" s="80"/>
      <c r="B45" s="81"/>
      <c r="C45" s="81"/>
      <c r="D45" s="81"/>
      <c r="E45" s="89" t="s">
        <v>20</v>
      </c>
      <c r="F45" s="81"/>
      <c r="G45" s="84"/>
      <c r="H45" s="90" t="s">
        <v>14</v>
      </c>
      <c r="I45" s="86"/>
      <c r="J45" s="86"/>
      <c r="K45" s="87"/>
      <c r="L45" s="91">
        <f t="shared" ref="L45:N45" ca="1" si="25">L48+L51+L54</f>
        <v>787275142</v>
      </c>
      <c r="M45" s="91">
        <f t="shared" ca="1" si="25"/>
        <v>778480384.23000002</v>
      </c>
      <c r="N45" s="91">
        <f t="shared" ca="1" si="25"/>
        <v>778479743.36000001</v>
      </c>
      <c r="O45" s="91">
        <f t="shared" ca="1" si="20"/>
        <v>98.8828049850963</v>
      </c>
      <c r="P45" s="91">
        <f t="shared" ca="1" si="21"/>
        <v>99.999917676795334</v>
      </c>
      <c r="Q45" s="91">
        <f t="shared" ref="Q45:S45" si="26">Q48+Q51</f>
        <v>0</v>
      </c>
      <c r="R45" s="91">
        <f t="shared" si="26"/>
        <v>0</v>
      </c>
      <c r="S45" s="91">
        <f t="shared" si="26"/>
        <v>0</v>
      </c>
      <c r="T45" s="91">
        <f t="shared" si="23"/>
        <v>0</v>
      </c>
      <c r="U45" s="91">
        <f t="shared" si="24"/>
        <v>0</v>
      </c>
    </row>
    <row r="46" spans="1:21" ht="18.75" x14ac:dyDescent="0.25">
      <c r="A46" s="80"/>
      <c r="B46" s="81"/>
      <c r="C46" s="81"/>
      <c r="D46" s="81"/>
      <c r="E46" s="89" t="s">
        <v>21</v>
      </c>
      <c r="F46" s="81"/>
      <c r="G46" s="84"/>
      <c r="H46" s="90" t="s">
        <v>14</v>
      </c>
      <c r="I46" s="86"/>
      <c r="J46" s="86"/>
      <c r="K46" s="87"/>
      <c r="L46" s="91">
        <f t="shared" ref="L46:N46" ca="1" si="27">L49+L52+L55</f>
        <v>37460258</v>
      </c>
      <c r="M46" s="91">
        <f t="shared" ca="1" si="27"/>
        <v>99148928.030000001</v>
      </c>
      <c r="N46" s="91">
        <f t="shared" ca="1" si="27"/>
        <v>99148927.930000007</v>
      </c>
      <c r="O46" s="91">
        <f t="shared" ca="1" si="20"/>
        <v>264.67764298366552</v>
      </c>
      <c r="P46" s="91">
        <f t="shared" ca="1" si="21"/>
        <v>99.999999899141628</v>
      </c>
      <c r="Q46" s="91">
        <f t="shared" ref="Q46:S46" ca="1" si="28">Q49+Q52</f>
        <v>0</v>
      </c>
      <c r="R46" s="91">
        <f t="shared" ca="1" si="28"/>
        <v>0</v>
      </c>
      <c r="S46" s="91">
        <f t="shared" ca="1" si="28"/>
        <v>0</v>
      </c>
      <c r="T46" s="91">
        <f t="shared" ca="1" si="23"/>
        <v>0</v>
      </c>
      <c r="U46" s="91">
        <f t="shared" ca="1" si="24"/>
        <v>0</v>
      </c>
    </row>
    <row r="47" spans="1:21" ht="18.75" x14ac:dyDescent="0.25">
      <c r="A47" s="35"/>
      <c r="B47" s="36"/>
      <c r="C47" s="36"/>
      <c r="D47" s="37" t="s">
        <v>22</v>
      </c>
      <c r="E47" s="36"/>
      <c r="F47" s="36"/>
      <c r="G47" s="38"/>
      <c r="H47" s="39" t="s">
        <v>14</v>
      </c>
      <c r="I47" s="40"/>
      <c r="J47" s="40"/>
      <c r="K47" s="41"/>
      <c r="L47" s="42">
        <f t="shared" ref="L47:N47" ca="1" si="29">L48+L49</f>
        <v>53502000</v>
      </c>
      <c r="M47" s="42">
        <f t="shared" ca="1" si="29"/>
        <v>53502000</v>
      </c>
      <c r="N47" s="42">
        <f t="shared" ca="1" si="29"/>
        <v>53501359.030000001</v>
      </c>
      <c r="O47" s="42">
        <f t="shared" ca="1" si="20"/>
        <v>99.998801970019812</v>
      </c>
      <c r="P47" s="42">
        <f t="shared" ca="1" si="21"/>
        <v>99.998801970019812</v>
      </c>
      <c r="Q47" s="42">
        <f t="shared" ref="Q47:S47" ca="1" si="30">Q48+Q49</f>
        <v>0</v>
      </c>
      <c r="R47" s="42">
        <f t="shared" ca="1" si="30"/>
        <v>0</v>
      </c>
      <c r="S47" s="42">
        <f t="shared" ca="1" si="30"/>
        <v>0</v>
      </c>
      <c r="T47" s="42">
        <f t="shared" ca="1" si="23"/>
        <v>0</v>
      </c>
      <c r="U47" s="42">
        <f t="shared" ca="1" si="24"/>
        <v>0</v>
      </c>
    </row>
    <row r="48" spans="1:21" ht="18.75" x14ac:dyDescent="0.25">
      <c r="A48" s="35"/>
      <c r="B48" s="36"/>
      <c r="C48" s="36"/>
      <c r="D48" s="36"/>
      <c r="E48" s="43" t="s">
        <v>20</v>
      </c>
      <c r="F48" s="36"/>
      <c r="G48" s="38"/>
      <c r="H48" s="39" t="s">
        <v>14</v>
      </c>
      <c r="I48" s="40"/>
      <c r="J48" s="40"/>
      <c r="K48" s="41"/>
      <c r="L48" s="42">
        <f ca="1">IFERROR(__xludf.DUMMYFUNCTION("IMPORTRANGE(""https://docs.google.com/spreadsheets/d/1-uDff_7J0KD5mKrp0Vvzr7lt3OU09vwQwhkpOPPYv2Y/edit?usp=sharing"",""งบพรบ!P9"")"),16041742)</f>
        <v>16041742</v>
      </c>
      <c r="M48" s="42">
        <f ca="1">IFERROR(__xludf.DUMMYFUNCTION("IMPORTRANGE(""https://docs.google.com/spreadsheets/d/1-uDff_7J0KD5mKrp0Vvzr7lt3OU09vwQwhkpOPPYv2Y/edit?usp=sharing"",""งบพรบ!V9"")"),9884477.89)</f>
        <v>9884477.8900000006</v>
      </c>
      <c r="N48" s="42">
        <f ca="1">IFERROR(__xludf.DUMMYFUNCTION("IMPORTRANGE(""https://docs.google.com/spreadsheets/d/1-uDff_7J0KD5mKrp0Vvzr7lt3OU09vwQwhkpOPPYv2Y/edit?usp=sharing"",""งบพรบ!Y9"")"),9883836.92)</f>
        <v>9883836.9199999999</v>
      </c>
      <c r="O48" s="42">
        <f t="shared" ca="1" si="20"/>
        <v>61.61323950977394</v>
      </c>
      <c r="P48" s="42">
        <f t="shared" ca="1" si="21"/>
        <v>99.993515388398521</v>
      </c>
      <c r="Q48" s="42">
        <v>0</v>
      </c>
      <c r="R48" s="42">
        <v>0</v>
      </c>
      <c r="S48" s="42">
        <v>0</v>
      </c>
      <c r="T48" s="42">
        <f t="shared" si="23"/>
        <v>0</v>
      </c>
      <c r="U48" s="42">
        <f t="shared" si="24"/>
        <v>0</v>
      </c>
    </row>
    <row r="49" spans="1:21" ht="18.75" x14ac:dyDescent="0.25">
      <c r="A49" s="35"/>
      <c r="B49" s="36"/>
      <c r="C49" s="36"/>
      <c r="D49" s="36"/>
      <c r="E49" s="43" t="s">
        <v>21</v>
      </c>
      <c r="F49" s="36"/>
      <c r="G49" s="38"/>
      <c r="H49" s="39" t="s">
        <v>14</v>
      </c>
      <c r="I49" s="40"/>
      <c r="J49" s="40"/>
      <c r="K49" s="41"/>
      <c r="L49" s="42">
        <f ca="1">IFERROR(__xludf.DUMMYFUNCTION("IMPORTRANGE(""https://docs.google.com/spreadsheets/d/12pGRKgvn2b31Uz_fjAl3XPzZUM_F2_O-zAHL2XHEPZg/edit?usp=sharing"",""รวมเหนือ!L49"")+IMPORTRANGE(""https://docs.google.com/spreadsheets/d/1c0UfJUA6nE6esVMy0kRcX_PENtt96DMxicQpqi3tips/edit?usp=sharing"",""ร"&amp;"วมตะวันออกเฉียงเหนือ!L49"")+IMPORTRANGE(""https://docs.google.com/spreadsheets/d/1iNWbYmj0agxPDl_yJgGu1eIremFPVMUuMWUKAjBzvrk/edit?usp=sharing"",""รวมกลาง!L49"")+IMPORTRANGE(""https://docs.google.com/spreadsheets/d/1uenpWDAH2bchvfvsSIjpd4bRU5D1faxJOaE34GQ"&amp;"M5-c/edit?usp=sharing"",""รวมใต้!L49"")"),37460258)</f>
        <v>37460258</v>
      </c>
      <c r="M49" s="42">
        <f ca="1">IFERROR(__xludf.DUMMYFUNCTION("IMPORTRANGE(""https://docs.google.com/spreadsheets/d/12pGRKgvn2b31Uz_fjAl3XPzZUM_F2_O-zAHL2XHEPZg/edit?usp=sharing"",""รวมเหนือ!M49"")+IMPORTRANGE(""https://docs.google.com/spreadsheets/d/1c0UfJUA6nE6esVMy0kRcX_PENtt96DMxicQpqi3tips/edit?usp=sharing"",""ร"&amp;"วมตะวันออกเฉียงเหนือ!M49"")+IMPORTRANGE(""https://docs.google.com/spreadsheets/d/1iNWbYmj0agxPDl_yJgGu1eIremFPVMUuMWUKAjBzvrk/edit?usp=sharing"",""รวมกลาง!M49"")+IMPORTRANGE(""https://docs.google.com/spreadsheets/d/1uenpWDAH2bchvfvsSIjpd4bRU5D1faxJOaE34GQ"&amp;"M5-c/edit?usp=sharing"",""รวมใต้!M49"")"),43617522.11)</f>
        <v>43617522.109999999</v>
      </c>
      <c r="N49" s="42">
        <f ca="1">IFERROR(__xludf.DUMMYFUNCTION("IMPORTRANGE(""https://docs.google.com/spreadsheets/d/12pGRKgvn2b31Uz_fjAl3XPzZUM_F2_O-zAHL2XHEPZg/edit?usp=sharing"",""รวมเหนือ!N49"")+IMPORTRANGE(""https://docs.google.com/spreadsheets/d/1c0UfJUA6nE6esVMy0kRcX_PENtt96DMxicQpqi3tips/edit?usp=sharing"",""ร"&amp;"วมตะวันออกเฉียงเหนือ!N49"")+IMPORTRANGE(""https://docs.google.com/spreadsheets/d/1iNWbYmj0agxPDl_yJgGu1eIremFPVMUuMWUKAjBzvrk/edit?usp=sharing"",""รวมกลาง!N49"")+IMPORTRANGE(""https://docs.google.com/spreadsheets/d/1uenpWDAH2bchvfvsSIjpd4bRU5D1faxJOaE34GQ"&amp;"M5-c/edit?usp=sharing"",""รวมใต้!N49"")"),43617522.11)</f>
        <v>43617522.109999999</v>
      </c>
      <c r="O49" s="42">
        <f t="shared" ca="1" si="20"/>
        <v>116.43679045136315</v>
      </c>
      <c r="P49" s="42">
        <f t="shared" ca="1" si="21"/>
        <v>100</v>
      </c>
      <c r="Q49" s="42">
        <f ca="1">IFERROR(__xludf.DUMMYFUNCTION("IMPORTRANGE(""https://docs.google.com/spreadsheets/d/12pGRKgvn2b31Uz_fjAl3XPzZUM_F2_O-zAHL2XHEPZg/edit?usp=sharing"",""รวมเหนือ!Q49"")+IMPORTRANGE(""https://docs.google.com/spreadsheets/d/1c0UfJUA6nE6esVMy0kRcX_PENtt96DMxicQpqi3tips/edit?usp=sharing"",""ร"&amp;"วมตะวันออกเฉียงเหนือ!Q49"")+IMPORTRANGE(""https://docs.google.com/spreadsheets/d/1iNWbYmj0agxPDl_yJgGu1eIremFPVMUuMWUKAjBzvrk/edit?usp=sharing"",""รวมกลาง!Q49"")+IMPORTRANGE(""https://docs.google.com/spreadsheets/d/1uenpWDAH2bchvfvsSIjpd4bRU5D1faxJOaE34GQ"&amp;"M5-c/edit?usp=sharing"",""รวมใต้!Q49"")"),0)</f>
        <v>0</v>
      </c>
      <c r="R49" s="42">
        <f ca="1">IFERROR(__xludf.DUMMYFUNCTION("IMPORTRANGE(""https://docs.google.com/spreadsheets/d/12pGRKgvn2b31Uz_fjAl3XPzZUM_F2_O-zAHL2XHEPZg/edit?usp=sharing"",""รวมเหนือ!R49"")+IMPORTRANGE(""https://docs.google.com/spreadsheets/d/1c0UfJUA6nE6esVMy0kRcX_PENtt96DMxicQpqi3tips/edit?usp=sharing"",""ร"&amp;"วมตะวันออกเฉียงเหนือ!R49"")+IMPORTRANGE(""https://docs.google.com/spreadsheets/d/1iNWbYmj0agxPDl_yJgGu1eIremFPVMUuMWUKAjBzvrk/edit?usp=sharing"",""รวมกลาง!R49"")+IMPORTRANGE(""https://docs.google.com/spreadsheets/d/1uenpWDAH2bchvfvsSIjpd4bRU5D1faxJOaE34GQ"&amp;"M5-c/edit?usp=sharing"",""รวมใต้!R49"")"),0)</f>
        <v>0</v>
      </c>
      <c r="S49" s="42">
        <f ca="1">IFERROR(__xludf.DUMMYFUNCTION("IMPORTRANGE(""https://docs.google.com/spreadsheets/d/12pGRKgvn2b31Uz_fjAl3XPzZUM_F2_O-zAHL2XHEPZg/edit?usp=sharing"",""รวมเหนือ!S49"")+IMPORTRANGE(""https://docs.google.com/spreadsheets/d/1c0UfJUA6nE6esVMy0kRcX_PENtt96DMxicQpqi3tips/edit?usp=sharing"",""ร"&amp;"วมตะวันออกเฉียงเหนือ!S49"")+IMPORTRANGE(""https://docs.google.com/spreadsheets/d/1iNWbYmj0agxPDl_yJgGu1eIremFPVMUuMWUKAjBzvrk/edit?usp=sharing"",""รวมกลาง!S49"")+IMPORTRANGE(""https://docs.google.com/spreadsheets/d/1uenpWDAH2bchvfvsSIjpd4bRU5D1faxJOaE34GQ"&amp;"M5-c/edit?usp=sharing"",""รวมใต้!S49"")"),0)</f>
        <v>0</v>
      </c>
      <c r="T49" s="42">
        <f t="shared" ca="1" si="23"/>
        <v>0</v>
      </c>
      <c r="U49" s="42">
        <f t="shared" ca="1" si="24"/>
        <v>0</v>
      </c>
    </row>
    <row r="50" spans="1:21" ht="18.75" x14ac:dyDescent="0.25">
      <c r="A50" s="35"/>
      <c r="B50" s="36"/>
      <c r="C50" s="36"/>
      <c r="D50" s="44" t="s">
        <v>23</v>
      </c>
      <c r="E50" s="36"/>
      <c r="F50" s="36"/>
      <c r="G50" s="38"/>
      <c r="H50" s="39" t="s">
        <v>14</v>
      </c>
      <c r="I50" s="40"/>
      <c r="J50" s="40"/>
      <c r="K50" s="41"/>
      <c r="L50" s="42">
        <f t="shared" ref="L50:N50" ca="1" si="31">L51+L52</f>
        <v>0</v>
      </c>
      <c r="M50" s="42">
        <f t="shared" ca="1" si="31"/>
        <v>0</v>
      </c>
      <c r="N50" s="42">
        <f t="shared" ca="1" si="31"/>
        <v>0</v>
      </c>
      <c r="O50" s="42">
        <f t="shared" ca="1" si="20"/>
        <v>0</v>
      </c>
      <c r="P50" s="42">
        <f t="shared" ca="1" si="21"/>
        <v>0</v>
      </c>
      <c r="Q50" s="42">
        <f t="shared" ref="Q50:S50" ca="1" si="32">Q51+Q52</f>
        <v>0</v>
      </c>
      <c r="R50" s="42">
        <f t="shared" ca="1" si="32"/>
        <v>0</v>
      </c>
      <c r="S50" s="42">
        <f t="shared" ca="1" si="32"/>
        <v>0</v>
      </c>
      <c r="T50" s="42">
        <f t="shared" ca="1" si="23"/>
        <v>0</v>
      </c>
      <c r="U50" s="42">
        <f t="shared" ca="1" si="24"/>
        <v>0</v>
      </c>
    </row>
    <row r="51" spans="1:21" ht="18.75" x14ac:dyDescent="0.25">
      <c r="A51" s="35"/>
      <c r="B51" s="36"/>
      <c r="C51" s="36"/>
      <c r="D51" s="36"/>
      <c r="E51" s="43" t="s">
        <v>20</v>
      </c>
      <c r="F51" s="36"/>
      <c r="G51" s="38"/>
      <c r="H51" s="39" t="s">
        <v>14</v>
      </c>
      <c r="I51" s="40"/>
      <c r="J51" s="40"/>
      <c r="K51" s="41"/>
      <c r="L51" s="42">
        <v>0</v>
      </c>
      <c r="M51" s="42">
        <v>0</v>
      </c>
      <c r="N51" s="42">
        <v>0</v>
      </c>
      <c r="O51" s="42">
        <f t="shared" si="20"/>
        <v>0</v>
      </c>
      <c r="P51" s="42">
        <f t="shared" si="21"/>
        <v>0</v>
      </c>
      <c r="Q51" s="42">
        <v>0</v>
      </c>
      <c r="R51" s="42">
        <v>0</v>
      </c>
      <c r="S51" s="42">
        <v>0</v>
      </c>
      <c r="T51" s="42">
        <f t="shared" si="23"/>
        <v>0</v>
      </c>
      <c r="U51" s="42">
        <f t="shared" si="24"/>
        <v>0</v>
      </c>
    </row>
    <row r="52" spans="1:21" ht="18.75" x14ac:dyDescent="0.25">
      <c r="A52" s="35"/>
      <c r="B52" s="36"/>
      <c r="C52" s="36"/>
      <c r="D52" s="36"/>
      <c r="E52" s="43" t="s">
        <v>21</v>
      </c>
      <c r="F52" s="36"/>
      <c r="G52" s="38"/>
      <c r="H52" s="39" t="s">
        <v>14</v>
      </c>
      <c r="I52" s="40"/>
      <c r="J52" s="40"/>
      <c r="K52" s="41"/>
      <c r="L52" s="42">
        <f ca="1">IFERROR(__xludf.DUMMYFUNCTION("IMPORTRANGE(""https://docs.google.com/spreadsheets/d/12pGRKgvn2b31Uz_fjAl3XPzZUM_F2_O-zAHL2XHEPZg/edit?usp=sharing"",""รวมเหนือ!L52"")+IMPORTRANGE(""https://docs.google.com/spreadsheets/d/1c0UfJUA6nE6esVMy0kRcX_PENtt96DMxicQpqi3tips/edit?usp=sharing"",""ร"&amp;"วมตะวันออกเฉียงเหนือ!L52"")+IMPORTRANGE(""https://docs.google.com/spreadsheets/d/1iNWbYmj0agxPDl_yJgGu1eIremFPVMUuMWUKAjBzvrk/edit?usp=sharing"",""รวมกลาง!L52"")+IMPORTRANGE(""https://docs.google.com/spreadsheets/d/1uenpWDAH2bchvfvsSIjpd4bRU5D1faxJOaE34GQ"&amp;"M5-c/edit?usp=sharing"",""รวมใต้!L52"")"),0)</f>
        <v>0</v>
      </c>
      <c r="M52" s="42">
        <f ca="1">IFERROR(__xludf.DUMMYFUNCTION("IMPORTRANGE(""https://docs.google.com/spreadsheets/d/12pGRKgvn2b31Uz_fjAl3XPzZUM_F2_O-zAHL2XHEPZg/edit?usp=sharing"",""รวมเหนือ!M52"")+IMPORTRANGE(""https://docs.google.com/spreadsheets/d/1c0UfJUA6nE6esVMy0kRcX_PENtt96DMxicQpqi3tips/edit?usp=sharing"",""ร"&amp;"วมตะวันออกเฉียงเหนือ!M52"")+IMPORTRANGE(""https://docs.google.com/spreadsheets/d/1iNWbYmj0agxPDl_yJgGu1eIremFPVMUuMWUKAjBzvrk/edit?usp=sharing"",""รวมกลาง!M52"")+IMPORTRANGE(""https://docs.google.com/spreadsheets/d/1uenpWDAH2bchvfvsSIjpd4bRU5D1faxJOaE34GQ"&amp;"M5-c/edit?usp=sharing"",""รวมใต้!M52"")"),0)</f>
        <v>0</v>
      </c>
      <c r="N52" s="42">
        <f ca="1">IFERROR(__xludf.DUMMYFUNCTION("IMPORTRANGE(""https://docs.google.com/spreadsheets/d/12pGRKgvn2b31Uz_fjAl3XPzZUM_F2_O-zAHL2XHEPZg/edit?usp=sharing"",""รวมเหนือ!N52"")+IMPORTRANGE(""https://docs.google.com/spreadsheets/d/1c0UfJUA6nE6esVMy0kRcX_PENtt96DMxicQpqi3tips/edit?usp=sharing"",""ร"&amp;"วมตะวันออกเฉียงเหนือ!N52"")+IMPORTRANGE(""https://docs.google.com/spreadsheets/d/1iNWbYmj0agxPDl_yJgGu1eIremFPVMUuMWUKAjBzvrk/edit?usp=sharing"",""รวมกลาง!N52"")+IMPORTRANGE(""https://docs.google.com/spreadsheets/d/1uenpWDAH2bchvfvsSIjpd4bRU5D1faxJOaE34GQ"&amp;"M5-c/edit?usp=sharing"",""รวมใต้!N52"")"),0)</f>
        <v>0</v>
      </c>
      <c r="O52" s="42">
        <f t="shared" ca="1" si="20"/>
        <v>0</v>
      </c>
      <c r="P52" s="42">
        <f t="shared" ca="1" si="21"/>
        <v>0</v>
      </c>
      <c r="Q52" s="42">
        <f ca="1">IFERROR(__xludf.DUMMYFUNCTION("IMPORTRANGE(""https://docs.google.com/spreadsheets/d/12pGRKgvn2b31Uz_fjAl3XPzZUM_F2_O-zAHL2XHEPZg/edit?usp=sharing"",""รวมเหนือ!Q52"")+IMPORTRANGE(""https://docs.google.com/spreadsheets/d/1c0UfJUA6nE6esVMy0kRcX_PENtt96DMxicQpqi3tips/edit?usp=sharing"",""ร"&amp;"วมตะวันออกเฉียงเหนือ!Q52"")+IMPORTRANGE(""https://docs.google.com/spreadsheets/d/1iNWbYmj0agxPDl_yJgGu1eIremFPVMUuMWUKAjBzvrk/edit?usp=sharing"",""รวมกลาง!Q52"")+IMPORTRANGE(""https://docs.google.com/spreadsheets/d/1uenpWDAH2bchvfvsSIjpd4bRU5D1faxJOaE34GQ"&amp;"M5-c/edit?usp=sharing"",""รวมใต้!Q52"")"),0)</f>
        <v>0</v>
      </c>
      <c r="R52" s="42">
        <f ca="1">IFERROR(__xludf.DUMMYFUNCTION("IMPORTRANGE(""https://docs.google.com/spreadsheets/d/12pGRKgvn2b31Uz_fjAl3XPzZUM_F2_O-zAHL2XHEPZg/edit?usp=sharing"",""รวมเหนือ!R52"")+IMPORTRANGE(""https://docs.google.com/spreadsheets/d/1c0UfJUA6nE6esVMy0kRcX_PENtt96DMxicQpqi3tips/edit?usp=sharing"",""ร"&amp;"วมตะวันออกเฉียงเหนือ!R52"")+IMPORTRANGE(""https://docs.google.com/spreadsheets/d/1iNWbYmj0agxPDl_yJgGu1eIremFPVMUuMWUKAjBzvrk/edit?usp=sharing"",""รวมกลาง!R52"")+IMPORTRANGE(""https://docs.google.com/spreadsheets/d/1uenpWDAH2bchvfvsSIjpd4bRU5D1faxJOaE34GQ"&amp;"M5-c/edit?usp=sharing"",""รวมใต้!R52"")"),0)</f>
        <v>0</v>
      </c>
      <c r="S52" s="42">
        <f ca="1">IFERROR(__xludf.DUMMYFUNCTION("IMPORTRANGE(""https://docs.google.com/spreadsheets/d/12pGRKgvn2b31Uz_fjAl3XPzZUM_F2_O-zAHL2XHEPZg/edit?usp=sharing"",""รวมเหนือ!S52"")+IMPORTRANGE(""https://docs.google.com/spreadsheets/d/1c0UfJUA6nE6esVMy0kRcX_PENtt96DMxicQpqi3tips/edit?usp=sharing"",""ร"&amp;"วมตะวันออกเฉียงเหนือ!S52"")+IMPORTRANGE(""https://docs.google.com/spreadsheets/d/1iNWbYmj0agxPDl_yJgGu1eIremFPVMUuMWUKAjBzvrk/edit?usp=sharing"",""รวมกลาง!S52"")+IMPORTRANGE(""https://docs.google.com/spreadsheets/d/1uenpWDAH2bchvfvsSIjpd4bRU5D1faxJOaE34GQ"&amp;"M5-c/edit?usp=sharing"",""รวมใต้!S52"")"),0)</f>
        <v>0</v>
      </c>
      <c r="T52" s="42">
        <f t="shared" ca="1" si="23"/>
        <v>0</v>
      </c>
      <c r="U52" s="42">
        <f t="shared" ca="1" si="24"/>
        <v>0</v>
      </c>
    </row>
    <row r="53" spans="1:21" ht="18.75" x14ac:dyDescent="0.25">
      <c r="A53" s="92"/>
      <c r="B53" s="43"/>
      <c r="C53" s="43"/>
      <c r="D53" s="44" t="s">
        <v>24</v>
      </c>
      <c r="E53" s="43"/>
      <c r="F53" s="43"/>
      <c r="G53" s="93"/>
      <c r="H53" s="39" t="s">
        <v>14</v>
      </c>
      <c r="I53" s="94"/>
      <c r="J53" s="94"/>
      <c r="K53" s="45"/>
      <c r="L53" s="45">
        <f t="shared" ref="L53:N53" ca="1" si="33">L54+L55</f>
        <v>771233400</v>
      </c>
      <c r="M53" s="45">
        <f t="shared" ca="1" si="33"/>
        <v>824127312.25999999</v>
      </c>
      <c r="N53" s="45">
        <f t="shared" ca="1" si="33"/>
        <v>824127312.26000011</v>
      </c>
      <c r="O53" s="45">
        <f t="shared" ca="1" si="20"/>
        <v>106.85835341934104</v>
      </c>
      <c r="P53" s="45">
        <f t="shared" ca="1" si="21"/>
        <v>100.00000000000001</v>
      </c>
      <c r="Q53" s="45">
        <f t="shared" ref="Q53:S53" si="34">Q54+Q55</f>
        <v>0</v>
      </c>
      <c r="R53" s="45">
        <f t="shared" si="34"/>
        <v>0</v>
      </c>
      <c r="S53" s="45">
        <f t="shared" si="34"/>
        <v>0</v>
      </c>
      <c r="T53" s="45">
        <f t="shared" si="23"/>
        <v>0</v>
      </c>
      <c r="U53" s="45">
        <f t="shared" si="24"/>
        <v>0</v>
      </c>
    </row>
    <row r="54" spans="1:21" ht="18.75" x14ac:dyDescent="0.25">
      <c r="A54" s="92"/>
      <c r="B54" s="43"/>
      <c r="C54" s="43"/>
      <c r="D54" s="43"/>
      <c r="E54" s="43" t="s">
        <v>20</v>
      </c>
      <c r="F54" s="43"/>
      <c r="G54" s="93"/>
      <c r="H54" s="39" t="s">
        <v>14</v>
      </c>
      <c r="I54" s="94"/>
      <c r="J54" s="94"/>
      <c r="K54" s="45"/>
      <c r="L54" s="45">
        <f ca="1">IFERROR(__xludf.DUMMYFUNCTION("IMPORTRANGE(""https://docs.google.com/spreadsheets/d/1-uDff_7J0KD5mKrp0Vvzr7lt3OU09vwQwhkpOPPYv2Y/edit?usp=sharing"",""งบพรบ!U9"")"),771233400)</f>
        <v>771233400</v>
      </c>
      <c r="M54" s="45">
        <f ca="1">IFERROR(__xludf.DUMMYFUNCTION("IMPORTRANGE(""https://docs.google.com/spreadsheets/d/1-uDff_7J0KD5mKrp0Vvzr7lt3OU09vwQwhkpOPPYv2Y/edit?usp=sharing"",""งบพรบ!X9"")"),768595906.34)</f>
        <v>768595906.34000003</v>
      </c>
      <c r="N54" s="45">
        <f ca="1">IFERROR(__xludf.DUMMYFUNCTION("IMPORTRANGE(""https://docs.google.com/spreadsheets/d/1-uDff_7J0KD5mKrp0Vvzr7lt3OU09vwQwhkpOPPYv2Y/edit?usp=sharing"",""งบพรบ!AB9"")"),768595906.44)</f>
        <v>768595906.44000006</v>
      </c>
      <c r="O54" s="45">
        <f t="shared" ca="1" si="20"/>
        <v>99.658016164756347</v>
      </c>
      <c r="P54" s="45">
        <f t="shared" ca="1" si="21"/>
        <v>100.00000001301073</v>
      </c>
      <c r="Q54" s="45">
        <v>0</v>
      </c>
      <c r="R54" s="45">
        <v>0</v>
      </c>
      <c r="S54" s="45">
        <v>0</v>
      </c>
      <c r="T54" s="45">
        <f t="shared" si="23"/>
        <v>0</v>
      </c>
      <c r="U54" s="45">
        <f t="shared" si="24"/>
        <v>0</v>
      </c>
    </row>
    <row r="55" spans="1:21" ht="18.75" x14ac:dyDescent="0.25">
      <c r="A55" s="95"/>
      <c r="B55" s="48"/>
      <c r="C55" s="48"/>
      <c r="D55" s="48"/>
      <c r="E55" s="48" t="s">
        <v>21</v>
      </c>
      <c r="F55" s="48"/>
      <c r="G55" s="96"/>
      <c r="H55" s="50" t="s">
        <v>14</v>
      </c>
      <c r="I55" s="97"/>
      <c r="J55" s="97"/>
      <c r="K55" s="53"/>
      <c r="L55" s="53">
        <f ca="1">IFERROR(__xludf.DUMMYFUNCTION("IMPORTRANGE(""https://docs.google.com/spreadsheets/d/1-uDff_7J0KD5mKrp0Vvzr7lt3OU09vwQwhkpOPPYv2Y/edit?usp=sharing"",""งบพรบ!U8"")"),0)</f>
        <v>0</v>
      </c>
      <c r="M55" s="53">
        <f ca="1">IFERROR(__xludf.DUMMYFUNCTION("IMPORTRANGE(""https://docs.google.com/spreadsheets/d/1-uDff_7J0KD5mKrp0Vvzr7lt3OU09vwQwhkpOPPYv2Y/edit?usp=sharing"",""งบพรบ!X8"")"),55531405.92)</f>
        <v>55531405.920000002</v>
      </c>
      <c r="N55" s="53">
        <f ca="1">IFERROR(__xludf.DUMMYFUNCTION("IMPORTRANGE(""https://docs.google.com/spreadsheets/d/1-uDff_7J0KD5mKrp0Vvzr7lt3OU09vwQwhkpOPPYv2Y/edit?usp=sharing"",""งบพรบ!AB8"")"),55531405.82)</f>
        <v>55531405.82</v>
      </c>
      <c r="O55" s="53">
        <f t="shared" ca="1" si="20"/>
        <v>0</v>
      </c>
      <c r="P55" s="53">
        <f t="shared" ca="1" si="21"/>
        <v>99.999999819921712</v>
      </c>
      <c r="Q55" s="53">
        <v>0</v>
      </c>
      <c r="R55" s="53">
        <v>0</v>
      </c>
      <c r="S55" s="53">
        <v>0</v>
      </c>
      <c r="T55" s="53">
        <f t="shared" si="23"/>
        <v>0</v>
      </c>
      <c r="U55" s="53">
        <f t="shared" si="24"/>
        <v>0</v>
      </c>
    </row>
    <row r="56" spans="1:21" ht="19.5" x14ac:dyDescent="0.3">
      <c r="A56" s="533" t="s">
        <v>28</v>
      </c>
      <c r="B56" s="513"/>
      <c r="C56" s="513"/>
      <c r="D56" s="513"/>
      <c r="E56" s="513"/>
      <c r="F56" s="513"/>
      <c r="G56" s="511"/>
      <c r="H56" s="98"/>
      <c r="I56" s="99"/>
      <c r="J56" s="99"/>
      <c r="K56" s="100"/>
      <c r="L56" s="100"/>
      <c r="M56" s="100"/>
      <c r="N56" s="100"/>
      <c r="O56" s="100"/>
      <c r="P56" s="101"/>
      <c r="Q56" s="100"/>
      <c r="R56" s="100"/>
      <c r="S56" s="100"/>
      <c r="T56" s="100"/>
      <c r="U56" s="101"/>
    </row>
    <row r="57" spans="1:21" ht="19.5" x14ac:dyDescent="0.3">
      <c r="A57" s="102"/>
      <c r="B57" s="534" t="s">
        <v>29</v>
      </c>
      <c r="C57" s="535"/>
      <c r="D57" s="535"/>
      <c r="E57" s="535"/>
      <c r="F57" s="535"/>
      <c r="G57" s="536"/>
      <c r="H57" s="103"/>
      <c r="I57" s="104"/>
      <c r="J57" s="104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</row>
    <row r="58" spans="1:21" ht="19.5" x14ac:dyDescent="0.3">
      <c r="A58" s="106"/>
      <c r="B58" s="107" t="s">
        <v>30</v>
      </c>
      <c r="C58" s="108"/>
      <c r="D58" s="108"/>
      <c r="E58" s="108"/>
      <c r="F58" s="108"/>
      <c r="G58" s="109"/>
      <c r="H58" s="109"/>
      <c r="I58" s="110"/>
      <c r="J58" s="110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</row>
    <row r="59" spans="1:21" ht="19.5" x14ac:dyDescent="0.3">
      <c r="A59" s="112"/>
      <c r="B59" s="113"/>
      <c r="C59" s="114" t="s">
        <v>18</v>
      </c>
      <c r="D59" s="115" t="s">
        <v>19</v>
      </c>
      <c r="E59" s="113"/>
      <c r="F59" s="113"/>
      <c r="G59" s="116"/>
      <c r="H59" s="117" t="s">
        <v>14</v>
      </c>
      <c r="I59" s="118"/>
      <c r="J59" s="118"/>
      <c r="K59" s="119"/>
      <c r="L59" s="120">
        <f t="shared" ref="L59:N59" ca="1" si="35">L60+L61</f>
        <v>286109100</v>
      </c>
      <c r="M59" s="120">
        <f t="shared" ca="1" si="35"/>
        <v>285758332.96000004</v>
      </c>
      <c r="N59" s="120">
        <f t="shared" ca="1" si="35"/>
        <v>186221469.26999998</v>
      </c>
      <c r="O59" s="120">
        <f t="shared" ref="O59:O67" ca="1" si="36">IF(L59&gt;0,N59*100/L59,0)</f>
        <v>65.087572981775139</v>
      </c>
      <c r="P59" s="120">
        <f t="shared" ref="P59:P67" ca="1" si="37">IF(M59&gt;0,N59*100/M59,0)</f>
        <v>65.167467678385066</v>
      </c>
      <c r="Q59" s="120">
        <f t="shared" ref="Q59:S59" ca="1" si="38">Q60+Q61</f>
        <v>0</v>
      </c>
      <c r="R59" s="120">
        <f t="shared" ca="1" si="38"/>
        <v>0</v>
      </c>
      <c r="S59" s="120">
        <f t="shared" ca="1" si="38"/>
        <v>0</v>
      </c>
      <c r="T59" s="120">
        <f t="shared" ref="T59:T67" ca="1" si="39">IF(Q59&gt;0,S59*100/Q59,0)</f>
        <v>0</v>
      </c>
      <c r="U59" s="120">
        <f t="shared" ref="U59:U67" ca="1" si="40">IF(R59&gt;0,S59*100/R59,0)</f>
        <v>0</v>
      </c>
    </row>
    <row r="60" spans="1:21" ht="18.75" x14ac:dyDescent="0.25">
      <c r="A60" s="112"/>
      <c r="B60" s="113"/>
      <c r="C60" s="113"/>
      <c r="D60" s="113"/>
      <c r="E60" s="121" t="s">
        <v>20</v>
      </c>
      <c r="F60" s="113"/>
      <c r="G60" s="116"/>
      <c r="H60" s="122" t="s">
        <v>14</v>
      </c>
      <c r="I60" s="118"/>
      <c r="J60" s="118"/>
      <c r="K60" s="119"/>
      <c r="L60" s="123">
        <f t="shared" ref="L60:N60" ca="1" si="41">L63+L66</f>
        <v>165967600</v>
      </c>
      <c r="M60" s="123">
        <f t="shared" ca="1" si="41"/>
        <v>165055574.72</v>
      </c>
      <c r="N60" s="123">
        <f t="shared" ca="1" si="41"/>
        <v>80540566.539999992</v>
      </c>
      <c r="O60" s="123">
        <f t="shared" ca="1" si="36"/>
        <v>48.527885286043777</v>
      </c>
      <c r="P60" s="123">
        <f t="shared" ca="1" si="37"/>
        <v>48.796029262646158</v>
      </c>
      <c r="Q60" s="123">
        <f t="shared" ref="Q60:S60" ca="1" si="42">Q63+Q66</f>
        <v>0</v>
      </c>
      <c r="R60" s="123">
        <f t="shared" ca="1" si="42"/>
        <v>0</v>
      </c>
      <c r="S60" s="123">
        <f t="shared" ca="1" si="42"/>
        <v>0</v>
      </c>
      <c r="T60" s="123">
        <f t="shared" ca="1" si="39"/>
        <v>0</v>
      </c>
      <c r="U60" s="123">
        <f t="shared" ca="1" si="40"/>
        <v>0</v>
      </c>
    </row>
    <row r="61" spans="1:21" ht="18.75" x14ac:dyDescent="0.25">
      <c r="A61" s="112"/>
      <c r="B61" s="113"/>
      <c r="C61" s="113"/>
      <c r="D61" s="113"/>
      <c r="E61" s="121" t="s">
        <v>21</v>
      </c>
      <c r="F61" s="113"/>
      <c r="G61" s="116"/>
      <c r="H61" s="122" t="s">
        <v>14</v>
      </c>
      <c r="I61" s="118"/>
      <c r="J61" s="118"/>
      <c r="K61" s="119"/>
      <c r="L61" s="123">
        <f t="shared" ref="L61:N61" ca="1" si="43">L64+L67</f>
        <v>120141500</v>
      </c>
      <c r="M61" s="123">
        <f t="shared" ca="1" si="43"/>
        <v>120702758.24000001</v>
      </c>
      <c r="N61" s="123">
        <f t="shared" ca="1" si="43"/>
        <v>105680902.72999999</v>
      </c>
      <c r="O61" s="123">
        <f t="shared" ca="1" si="36"/>
        <v>87.963695084546117</v>
      </c>
      <c r="P61" s="123">
        <f t="shared" ca="1" si="37"/>
        <v>87.554670888190273</v>
      </c>
      <c r="Q61" s="123">
        <f t="shared" ref="Q61:S61" ca="1" si="44">Q64+Q67</f>
        <v>0</v>
      </c>
      <c r="R61" s="123">
        <f t="shared" ca="1" si="44"/>
        <v>0</v>
      </c>
      <c r="S61" s="123">
        <f t="shared" ca="1" si="44"/>
        <v>0</v>
      </c>
      <c r="T61" s="123">
        <f t="shared" ca="1" si="39"/>
        <v>0</v>
      </c>
      <c r="U61" s="123">
        <f t="shared" ca="1" si="40"/>
        <v>0</v>
      </c>
    </row>
    <row r="62" spans="1:21" ht="18.75" x14ac:dyDescent="0.25">
      <c r="A62" s="35"/>
      <c r="B62" s="36"/>
      <c r="C62" s="36"/>
      <c r="D62" s="37" t="s">
        <v>22</v>
      </c>
      <c r="E62" s="36"/>
      <c r="F62" s="36"/>
      <c r="G62" s="38"/>
      <c r="H62" s="39" t="s">
        <v>14</v>
      </c>
      <c r="I62" s="40"/>
      <c r="J62" s="40"/>
      <c r="K62" s="41"/>
      <c r="L62" s="42">
        <f t="shared" ref="L62:N62" ca="1" si="45">L63+L64</f>
        <v>116483300</v>
      </c>
      <c r="M62" s="42">
        <f t="shared" ca="1" si="45"/>
        <v>120967223.34999999</v>
      </c>
      <c r="N62" s="42">
        <f t="shared" ca="1" si="45"/>
        <v>120728559.66</v>
      </c>
      <c r="O62" s="42">
        <f t="shared" ca="1" si="36"/>
        <v>103.64452214180058</v>
      </c>
      <c r="P62" s="42">
        <f t="shared" ca="1" si="37"/>
        <v>99.802703837129954</v>
      </c>
      <c r="Q62" s="42">
        <f t="shared" ref="Q62:S62" ca="1" si="46">Q63+Q64</f>
        <v>0</v>
      </c>
      <c r="R62" s="42">
        <f t="shared" ca="1" si="46"/>
        <v>0</v>
      </c>
      <c r="S62" s="42">
        <f t="shared" ca="1" si="46"/>
        <v>0</v>
      </c>
      <c r="T62" s="42">
        <f t="shared" ca="1" si="39"/>
        <v>0</v>
      </c>
      <c r="U62" s="42">
        <f t="shared" ca="1" si="40"/>
        <v>0</v>
      </c>
    </row>
    <row r="63" spans="1:21" ht="18.75" x14ac:dyDescent="0.25">
      <c r="A63" s="35"/>
      <c r="B63" s="36"/>
      <c r="C63" s="36"/>
      <c r="D63" s="36"/>
      <c r="E63" s="43" t="s">
        <v>20</v>
      </c>
      <c r="F63" s="36"/>
      <c r="G63" s="38"/>
      <c r="H63" s="39" t="s">
        <v>14</v>
      </c>
      <c r="I63" s="40"/>
      <c r="J63" s="40"/>
      <c r="K63" s="41"/>
      <c r="L63" s="42">
        <f ca="1">IFERROR(__xludf.DUMMYFUNCTION("IMPORTRANGE(""https://docs.google.com/spreadsheets/d/1-uDff_7J0KD5mKrp0Vvzr7lt3OU09vwQwhkpOPPYv2Y/edit?usp=sharing"",""งบพรบ!AC9"")"),64263800)</f>
        <v>64263800</v>
      </c>
      <c r="M63" s="42">
        <f ca="1">IFERROR(__xludf.DUMMYFUNCTION("IMPORTRANGE(""https://docs.google.com/spreadsheets/d/1-uDff_7J0KD5mKrp0Vvzr7lt3OU09vwQwhkpOPPYv2Y/edit?usp=sharing"",""งบพรบ!AH9"")"),64093554.72)</f>
        <v>64093554.719999999</v>
      </c>
      <c r="N63" s="42">
        <f ca="1">IFERROR(__xludf.DUMMYFUNCTION("IMPORTRANGE(""https://docs.google.com/spreadsheets/d/1-uDff_7J0KD5mKrp0Vvzr7lt3OU09vwQwhkpOPPYv2Y/edit?usp=sharing"",""งบพรบ!AJ9"")"),63856546.54)</f>
        <v>63856546.539999999</v>
      </c>
      <c r="O63" s="42">
        <f t="shared" ca="1" si="36"/>
        <v>99.366278589190188</v>
      </c>
      <c r="P63" s="42">
        <f t="shared" ca="1" si="37"/>
        <v>99.63021526729888</v>
      </c>
      <c r="Q63" s="42">
        <f ca="1">IFERROR(__xludf.DUMMYFUNCTION("IMPORTRANGE(""https://docs.google.com/spreadsheets/d/12pGRKgvn2b31Uz_fjAl3XPzZUM_F2_O-zAHL2XHEPZg/edit?usp=sharing"",""รวมเหนือ!Q63"")+IMPORTRANGE(""https://docs.google.com/spreadsheets/d/1c0UfJUA6nE6esVMy0kRcX_PENtt96DMxicQpqi3tips/edit?usp=sharing"",""ร"&amp;"วมตะวันออกเฉียงเหนือ!Q63"")+IMPORTRANGE(""https://docs.google.com/spreadsheets/d/1iNWbYmj0agxPDl_yJgGu1eIremFPVMUuMWUKAjBzvrk/edit?usp=sharing"",""รวมกลาง!Q63"")+IMPORTRANGE(""https://docs.google.com/spreadsheets/d/1uenpWDAH2bchvfvsSIjpd4bRU5D1faxJOaE34GQ"&amp;"M5-c/edit?usp=sharing"",""รวมใต้!Q63"")"),0)</f>
        <v>0</v>
      </c>
      <c r="R63" s="42">
        <f ca="1">IFERROR(__xludf.DUMMYFUNCTION("IMPORTRANGE(""https://docs.google.com/spreadsheets/d/12pGRKgvn2b31Uz_fjAl3XPzZUM_F2_O-zAHL2XHEPZg/edit?usp=sharing"",""รวมเหนือ!R63"")+IMPORTRANGE(""https://docs.google.com/spreadsheets/d/1c0UfJUA6nE6esVMy0kRcX_PENtt96DMxicQpqi3tips/edit?usp=sharing"",""ร"&amp;"วมตะวันออกเฉียงเหนือ!R63"")+IMPORTRANGE(""https://docs.google.com/spreadsheets/d/1iNWbYmj0agxPDl_yJgGu1eIremFPVMUuMWUKAjBzvrk/edit?usp=sharing"",""รวมกลาง!R63"")+IMPORTRANGE(""https://docs.google.com/spreadsheets/d/1uenpWDAH2bchvfvsSIjpd4bRU5D1faxJOaE34GQ"&amp;"M5-c/edit?usp=sharing"",""รวมใต้!R63"")"),0)</f>
        <v>0</v>
      </c>
      <c r="S63" s="42">
        <f ca="1">IFERROR(__xludf.DUMMYFUNCTION("IMPORTRANGE(""https://docs.google.com/spreadsheets/d/12pGRKgvn2b31Uz_fjAl3XPzZUM_F2_O-zAHL2XHEPZg/edit?usp=sharing"",""รวมเหนือ!S63"")+IMPORTRANGE(""https://docs.google.com/spreadsheets/d/1c0UfJUA6nE6esVMy0kRcX_PENtt96DMxicQpqi3tips/edit?usp=sharing"",""ร"&amp;"วมตะวันออกเฉียงเหนือ!S63"")+IMPORTRANGE(""https://docs.google.com/spreadsheets/d/1iNWbYmj0agxPDl_yJgGu1eIremFPVMUuMWUKAjBzvrk/edit?usp=sharing"",""รวมกลาง!S63"")+IMPORTRANGE(""https://docs.google.com/spreadsheets/d/1uenpWDAH2bchvfvsSIjpd4bRU5D1faxJOaE34GQ"&amp;"M5-c/edit?usp=sharing"",""รวมใต้!S63"")"),0)</f>
        <v>0</v>
      </c>
      <c r="T63" s="42">
        <f t="shared" ca="1" si="39"/>
        <v>0</v>
      </c>
      <c r="U63" s="42">
        <f t="shared" ca="1" si="40"/>
        <v>0</v>
      </c>
    </row>
    <row r="64" spans="1:21" ht="18.75" x14ac:dyDescent="0.25">
      <c r="A64" s="35"/>
      <c r="B64" s="36"/>
      <c r="C64" s="36"/>
      <c r="D64" s="36"/>
      <c r="E64" s="43" t="s">
        <v>21</v>
      </c>
      <c r="F64" s="36"/>
      <c r="G64" s="38"/>
      <c r="H64" s="39" t="s">
        <v>14</v>
      </c>
      <c r="I64" s="40"/>
      <c r="J64" s="40"/>
      <c r="K64" s="41"/>
      <c r="L64" s="42">
        <f ca="1">IFERROR(__xludf.DUMMYFUNCTION("IMPORTRANGE(""https://docs.google.com/spreadsheets/d/12pGRKgvn2b31Uz_fjAl3XPzZUM_F2_O-zAHL2XHEPZg/edit?usp=sharing"",""รวมเหนือ!L64"")+IMPORTRANGE(""https://docs.google.com/spreadsheets/d/1c0UfJUA6nE6esVMy0kRcX_PENtt96DMxicQpqi3tips/edit?usp=sharing"",""ร"&amp;"วมตะวันออกเฉียงเหนือ!L64"")+IMPORTRANGE(""https://docs.google.com/spreadsheets/d/1iNWbYmj0agxPDl_yJgGu1eIremFPVMUuMWUKAjBzvrk/edit?usp=sharing"",""รวมกลาง!L64"")+IMPORTRANGE(""https://docs.google.com/spreadsheets/d/1uenpWDAH2bchvfvsSIjpd4bRU5D1faxJOaE34GQ"&amp;"M5-c/edit?usp=sharing"",""รวมใต้!L64"")"),52219500)</f>
        <v>52219500</v>
      </c>
      <c r="M64" s="42">
        <f ca="1">IFERROR(__xludf.DUMMYFUNCTION("IMPORTRANGE(""https://docs.google.com/spreadsheets/d/12pGRKgvn2b31Uz_fjAl3XPzZUM_F2_O-zAHL2XHEPZg/edit?usp=sharing"",""รวมเหนือ!M64"")+IMPORTRANGE(""https://docs.google.com/spreadsheets/d/1c0UfJUA6nE6esVMy0kRcX_PENtt96DMxicQpqi3tips/edit?usp=sharing"",""ร"&amp;"วมตะวันออกเฉียงเหนือ!M64"")+IMPORTRANGE(""https://docs.google.com/spreadsheets/d/1iNWbYmj0agxPDl_yJgGu1eIremFPVMUuMWUKAjBzvrk/edit?usp=sharing"",""รวมกลาง!M64"")+IMPORTRANGE(""https://docs.google.com/spreadsheets/d/1uenpWDAH2bchvfvsSIjpd4bRU5D1faxJOaE34GQ"&amp;"M5-c/edit?usp=sharing"",""รวมใต้!M64"")"),56873668.63)</f>
        <v>56873668.630000003</v>
      </c>
      <c r="N64" s="42">
        <f ca="1">IFERROR(__xludf.DUMMYFUNCTION("IMPORTRANGE(""https://docs.google.com/spreadsheets/d/12pGRKgvn2b31Uz_fjAl3XPzZUM_F2_O-zAHL2XHEPZg/edit?usp=sharing"",""รวมเหนือ!N64"")+IMPORTRANGE(""https://docs.google.com/spreadsheets/d/1c0UfJUA6nE6esVMy0kRcX_PENtt96DMxicQpqi3tips/edit?usp=sharing"",""ร"&amp;"วมตะวันออกเฉียงเหนือ!N64"")+IMPORTRANGE(""https://docs.google.com/spreadsheets/d/1iNWbYmj0agxPDl_yJgGu1eIremFPVMUuMWUKAjBzvrk/edit?usp=sharing"",""รวมกลาง!N64"")+IMPORTRANGE(""https://docs.google.com/spreadsheets/d/1uenpWDAH2bchvfvsSIjpd4bRU5D1faxJOaE34GQ"&amp;"M5-c/edit?usp=sharing"",""รวมใต้!N64"")"),56872013.12)</f>
        <v>56872013.119999997</v>
      </c>
      <c r="O64" s="42">
        <f t="shared" ca="1" si="36"/>
        <v>108.90953210965253</v>
      </c>
      <c r="P64" s="42">
        <f t="shared" ca="1" si="37"/>
        <v>99.997089145047468</v>
      </c>
      <c r="Q64" s="42">
        <f ca="1">IFERROR(__xludf.DUMMYFUNCTION("IMPORTRANGE(""https://docs.google.com/spreadsheets/d/12pGRKgvn2b31Uz_fjAl3XPzZUM_F2_O-zAHL2XHEPZg/edit?usp=sharing"",""รวมเหนือ!Q64"")+IMPORTRANGE(""https://docs.google.com/spreadsheets/d/1c0UfJUA6nE6esVMy0kRcX_PENtt96DMxicQpqi3tips/edit?usp=sharing"",""ร"&amp;"วมตะวันออกเฉียงเหนือ!Q64"")+IMPORTRANGE(""https://docs.google.com/spreadsheets/d/1iNWbYmj0agxPDl_yJgGu1eIremFPVMUuMWUKAjBzvrk/edit?usp=sharing"",""รวมกลาง!Q64"")+IMPORTRANGE(""https://docs.google.com/spreadsheets/d/1uenpWDAH2bchvfvsSIjpd4bRU5D1faxJOaE34GQ"&amp;"M5-c/edit?usp=sharing"",""รวมใต้!Q64"")"),0)</f>
        <v>0</v>
      </c>
      <c r="R64" s="42">
        <f ca="1">IFERROR(__xludf.DUMMYFUNCTION("IMPORTRANGE(""https://docs.google.com/spreadsheets/d/12pGRKgvn2b31Uz_fjAl3XPzZUM_F2_O-zAHL2XHEPZg/edit?usp=sharing"",""รวมเหนือ!R64"")+IMPORTRANGE(""https://docs.google.com/spreadsheets/d/1c0UfJUA6nE6esVMy0kRcX_PENtt96DMxicQpqi3tips/edit?usp=sharing"",""ร"&amp;"วมตะวันออกเฉียงเหนือ!R64"")+IMPORTRANGE(""https://docs.google.com/spreadsheets/d/1iNWbYmj0agxPDl_yJgGu1eIremFPVMUuMWUKAjBzvrk/edit?usp=sharing"",""รวมกลาง!R64"")+IMPORTRANGE(""https://docs.google.com/spreadsheets/d/1uenpWDAH2bchvfvsSIjpd4bRU5D1faxJOaE34GQ"&amp;"M5-c/edit?usp=sharing"",""รวมใต้!R64"")"),0)</f>
        <v>0</v>
      </c>
      <c r="S64" s="42">
        <f ca="1">IFERROR(__xludf.DUMMYFUNCTION("IMPORTRANGE(""https://docs.google.com/spreadsheets/d/12pGRKgvn2b31Uz_fjAl3XPzZUM_F2_O-zAHL2XHEPZg/edit?usp=sharing"",""รวมเหนือ!S64"")+IMPORTRANGE(""https://docs.google.com/spreadsheets/d/1c0UfJUA6nE6esVMy0kRcX_PENtt96DMxicQpqi3tips/edit?usp=sharing"",""ร"&amp;"วมตะวันออกเฉียงเหนือ!S64"")+IMPORTRANGE(""https://docs.google.com/spreadsheets/d/1iNWbYmj0agxPDl_yJgGu1eIremFPVMUuMWUKAjBzvrk/edit?usp=sharing"",""รวมกลาง!S64"")+IMPORTRANGE(""https://docs.google.com/spreadsheets/d/1uenpWDAH2bchvfvsSIjpd4bRU5D1faxJOaE34GQ"&amp;"M5-c/edit?usp=sharing"",""รวมใต้!S64"")"),0)</f>
        <v>0</v>
      </c>
      <c r="T64" s="42">
        <f t="shared" ca="1" si="39"/>
        <v>0</v>
      </c>
      <c r="U64" s="42">
        <f t="shared" ca="1" si="40"/>
        <v>0</v>
      </c>
    </row>
    <row r="65" spans="1:21" ht="18.75" x14ac:dyDescent="0.25">
      <c r="A65" s="35"/>
      <c r="B65" s="36"/>
      <c r="C65" s="36"/>
      <c r="D65" s="37" t="s">
        <v>23</v>
      </c>
      <c r="E65" s="36"/>
      <c r="F65" s="36"/>
      <c r="G65" s="38"/>
      <c r="H65" s="39" t="s">
        <v>14</v>
      </c>
      <c r="I65" s="40"/>
      <c r="J65" s="40"/>
      <c r="K65" s="41"/>
      <c r="L65" s="42">
        <f t="shared" ref="L65:N65" ca="1" si="47">L66+L67</f>
        <v>169625800</v>
      </c>
      <c r="M65" s="42">
        <f t="shared" ca="1" si="47"/>
        <v>164791109.61000001</v>
      </c>
      <c r="N65" s="42">
        <f t="shared" ca="1" si="47"/>
        <v>65492909.609999999</v>
      </c>
      <c r="O65" s="42">
        <f t="shared" ca="1" si="36"/>
        <v>38.610228874381136</v>
      </c>
      <c r="P65" s="42">
        <f t="shared" ca="1" si="37"/>
        <v>39.742987206650675</v>
      </c>
      <c r="Q65" s="42">
        <f t="shared" ref="Q65:S65" ca="1" si="48">Q66+Q67</f>
        <v>0</v>
      </c>
      <c r="R65" s="42">
        <f t="shared" ca="1" si="48"/>
        <v>0</v>
      </c>
      <c r="S65" s="42">
        <f t="shared" ca="1" si="48"/>
        <v>0</v>
      </c>
      <c r="T65" s="42">
        <f t="shared" ca="1" si="39"/>
        <v>0</v>
      </c>
      <c r="U65" s="42">
        <f t="shared" ca="1" si="40"/>
        <v>0</v>
      </c>
    </row>
    <row r="66" spans="1:21" ht="18.75" x14ac:dyDescent="0.25">
      <c r="A66" s="35"/>
      <c r="B66" s="36"/>
      <c r="C66" s="36"/>
      <c r="D66" s="36"/>
      <c r="E66" s="43" t="s">
        <v>20</v>
      </c>
      <c r="F66" s="36"/>
      <c r="G66" s="38"/>
      <c r="H66" s="39" t="s">
        <v>14</v>
      </c>
      <c r="I66" s="40"/>
      <c r="J66" s="40"/>
      <c r="K66" s="41"/>
      <c r="L66" s="42">
        <f ca="1">IFERROR(__xludf.DUMMYFUNCTION("IMPORTRANGE(""https://docs.google.com/spreadsheets/d/1-uDff_7J0KD5mKrp0Vvzr7lt3OU09vwQwhkpOPPYv2Y/edit?usp=sharing"",""งบพรบ!AF9"")"),101703800)</f>
        <v>101703800</v>
      </c>
      <c r="M66" s="42">
        <f ca="1">IFERROR(__xludf.DUMMYFUNCTION("IMPORTRANGE(""https://docs.google.com/spreadsheets/d/1-uDff_7J0KD5mKrp0Vvzr7lt3OU09vwQwhkpOPPYv2Y/edit?usp=sharing"",""งบพรบ!AI9"")"),100962020)</f>
        <v>100962020</v>
      </c>
      <c r="N66" s="42">
        <f ca="1">IFERROR(__xludf.DUMMYFUNCTION("IMPORTRANGE(""https://docs.google.com/spreadsheets/d/1-uDff_7J0KD5mKrp0Vvzr7lt3OU09vwQwhkpOPPYv2Y/edit?usp=sharing"",""งบพรบ!AK9"")"),16684020)</f>
        <v>16684020</v>
      </c>
      <c r="O66" s="42">
        <f t="shared" ca="1" si="36"/>
        <v>16.404519791787525</v>
      </c>
      <c r="P66" s="42">
        <f t="shared" ca="1" si="37"/>
        <v>16.525045754829389</v>
      </c>
      <c r="Q66" s="42">
        <f ca="1">IFERROR(__xludf.DUMMYFUNCTION("IMPORTRANGE(""https://docs.google.com/spreadsheets/d/12pGRKgvn2b31Uz_fjAl3XPzZUM_F2_O-zAHL2XHEPZg/edit?usp=sharing"",""รวมเหนือ!Q66"")+IMPORTRANGE(""https://docs.google.com/spreadsheets/d/1c0UfJUA6nE6esVMy0kRcX_PENtt96DMxicQpqi3tips/edit?usp=sharing"",""ร"&amp;"วมตะวันออกเฉียงเหนือ!Q66"")+IMPORTRANGE(""https://docs.google.com/spreadsheets/d/1iNWbYmj0agxPDl_yJgGu1eIremFPVMUuMWUKAjBzvrk/edit?usp=sharing"",""รวมกลาง!Q66"")+IMPORTRANGE(""https://docs.google.com/spreadsheets/d/1uenpWDAH2bchvfvsSIjpd4bRU5D1faxJOaE34GQ"&amp;"M5-c/edit?usp=sharing"",""รวมใต้!Q66"")"),0)</f>
        <v>0</v>
      </c>
      <c r="R66" s="42">
        <f ca="1">IFERROR(__xludf.DUMMYFUNCTION("IMPORTRANGE(""https://docs.google.com/spreadsheets/d/12pGRKgvn2b31Uz_fjAl3XPzZUM_F2_O-zAHL2XHEPZg/edit?usp=sharing"",""รวมเหนือ!R66"")+IMPORTRANGE(""https://docs.google.com/spreadsheets/d/1c0UfJUA6nE6esVMy0kRcX_PENtt96DMxicQpqi3tips/edit?usp=sharing"",""ร"&amp;"วมตะวันออกเฉียงเหนือ!R66"")+IMPORTRANGE(""https://docs.google.com/spreadsheets/d/1iNWbYmj0agxPDl_yJgGu1eIremFPVMUuMWUKAjBzvrk/edit?usp=sharing"",""รวมกลาง!R66"")+IMPORTRANGE(""https://docs.google.com/spreadsheets/d/1uenpWDAH2bchvfvsSIjpd4bRU5D1faxJOaE34GQ"&amp;"M5-c/edit?usp=sharing"",""รวมใต้!R66"")"),0)</f>
        <v>0</v>
      </c>
      <c r="S66" s="42">
        <f ca="1">IFERROR(__xludf.DUMMYFUNCTION("IMPORTRANGE(""https://docs.google.com/spreadsheets/d/12pGRKgvn2b31Uz_fjAl3XPzZUM_F2_O-zAHL2XHEPZg/edit?usp=sharing"",""รวมเหนือ!S66"")+IMPORTRANGE(""https://docs.google.com/spreadsheets/d/1c0UfJUA6nE6esVMy0kRcX_PENtt96DMxicQpqi3tips/edit?usp=sharing"",""ร"&amp;"วมตะวันออกเฉียงเหนือ!S66"")+IMPORTRANGE(""https://docs.google.com/spreadsheets/d/1iNWbYmj0agxPDl_yJgGu1eIremFPVMUuMWUKAjBzvrk/edit?usp=sharing"",""รวมกลาง!S66"")+IMPORTRANGE(""https://docs.google.com/spreadsheets/d/1uenpWDAH2bchvfvsSIjpd4bRU5D1faxJOaE34GQ"&amp;"M5-c/edit?usp=sharing"",""รวมใต้!S66"")"),0)</f>
        <v>0</v>
      </c>
      <c r="T66" s="42">
        <f t="shared" ca="1" si="39"/>
        <v>0</v>
      </c>
      <c r="U66" s="42">
        <f t="shared" ca="1" si="40"/>
        <v>0</v>
      </c>
    </row>
    <row r="67" spans="1:21" ht="18.75" x14ac:dyDescent="0.25">
      <c r="A67" s="46"/>
      <c r="B67" s="47"/>
      <c r="C67" s="47"/>
      <c r="D67" s="47"/>
      <c r="E67" s="48" t="s">
        <v>21</v>
      </c>
      <c r="F67" s="47"/>
      <c r="G67" s="49"/>
      <c r="H67" s="50" t="s">
        <v>14</v>
      </c>
      <c r="I67" s="51"/>
      <c r="J67" s="51"/>
      <c r="K67" s="52"/>
      <c r="L67" s="124">
        <f ca="1">IFERROR(__xludf.DUMMYFUNCTION("IMPORTRANGE(""https://docs.google.com/spreadsheets/d/12pGRKgvn2b31Uz_fjAl3XPzZUM_F2_O-zAHL2XHEPZg/edit?usp=sharing"",""รวมเหนือ!L67"")+IMPORTRANGE(""https://docs.google.com/spreadsheets/d/1c0UfJUA6nE6esVMy0kRcX_PENtt96DMxicQpqi3tips/edit?usp=sharing"",""ร"&amp;"วมตะวันออกเฉียงเหนือ!L67"")+IMPORTRANGE(""https://docs.google.com/spreadsheets/d/1iNWbYmj0agxPDl_yJgGu1eIremFPVMUuMWUKAjBzvrk/edit?usp=sharing"",""รวมกลาง!L67"")+IMPORTRANGE(""https://docs.google.com/spreadsheets/d/1uenpWDAH2bchvfvsSIjpd4bRU5D1faxJOaE34GQ"&amp;"M5-c/edit?usp=sharing"",""รวมใต้!L67"")"),67922000)</f>
        <v>67922000</v>
      </c>
      <c r="M67" s="124">
        <f ca="1">IFERROR(__xludf.DUMMYFUNCTION("IMPORTRANGE(""https://docs.google.com/spreadsheets/d/12pGRKgvn2b31Uz_fjAl3XPzZUM_F2_O-zAHL2XHEPZg/edit?usp=sharing"",""รวมเหนือ!M67"")+IMPORTRANGE(""https://docs.google.com/spreadsheets/d/1c0UfJUA6nE6esVMy0kRcX_PENtt96DMxicQpqi3tips/edit?usp=sharing"",""ร"&amp;"วมตะวันออกเฉียงเหนือ!M67"")+IMPORTRANGE(""https://docs.google.com/spreadsheets/d/1iNWbYmj0agxPDl_yJgGu1eIremFPVMUuMWUKAjBzvrk/edit?usp=sharing"",""รวมกลาง!M67"")+IMPORTRANGE(""https://docs.google.com/spreadsheets/d/1uenpWDAH2bchvfvsSIjpd4bRU5D1faxJOaE34GQ"&amp;"M5-c/edit?usp=sharing"",""รวมใต้!M67"")"),63829089.61)</f>
        <v>63829089.609999999</v>
      </c>
      <c r="N67" s="124">
        <f ca="1">IFERROR(__xludf.DUMMYFUNCTION("IMPORTRANGE(""https://docs.google.com/spreadsheets/d/12pGRKgvn2b31Uz_fjAl3XPzZUM_F2_O-zAHL2XHEPZg/edit?usp=sharing"",""รวมเหนือ!N67"")+IMPORTRANGE(""https://docs.google.com/spreadsheets/d/1c0UfJUA6nE6esVMy0kRcX_PENtt96DMxicQpqi3tips/edit?usp=sharing"",""ร"&amp;"วมตะวันออกเฉียงเหนือ!N67"")+IMPORTRANGE(""https://docs.google.com/spreadsheets/d/1iNWbYmj0agxPDl_yJgGu1eIremFPVMUuMWUKAjBzvrk/edit?usp=sharing"",""รวมกลาง!N67"")+IMPORTRANGE(""https://docs.google.com/spreadsheets/d/1uenpWDAH2bchvfvsSIjpd4bRU5D1faxJOaE34GQ"&amp;"M5-c/edit?usp=sharing"",""รวมใต้!N67"")"),48808889.61)</f>
        <v>48808889.609999999</v>
      </c>
      <c r="O67" s="124">
        <f t="shared" ca="1" si="36"/>
        <v>71.860206722416891</v>
      </c>
      <c r="P67" s="124">
        <f t="shared" ca="1" si="37"/>
        <v>76.468096142723596</v>
      </c>
      <c r="Q67" s="124">
        <f ca="1">IFERROR(__xludf.DUMMYFUNCTION("IMPORTRANGE(""https://docs.google.com/spreadsheets/d/12pGRKgvn2b31Uz_fjAl3XPzZUM_F2_O-zAHL2XHEPZg/edit?usp=sharing"",""รวมเหนือ!Q67"")+IMPORTRANGE(""https://docs.google.com/spreadsheets/d/1c0UfJUA6nE6esVMy0kRcX_PENtt96DMxicQpqi3tips/edit?usp=sharing"",""ร"&amp;"วมตะวันออกเฉียงเหนือ!Q67"")+IMPORTRANGE(""https://docs.google.com/spreadsheets/d/1iNWbYmj0agxPDl_yJgGu1eIremFPVMUuMWUKAjBzvrk/edit?usp=sharing"",""รวมกลาง!Q67"")+IMPORTRANGE(""https://docs.google.com/spreadsheets/d/1uenpWDAH2bchvfvsSIjpd4bRU5D1faxJOaE34GQ"&amp;"M5-c/edit?usp=sharing"",""รวมใต้!Q67"")"),0)</f>
        <v>0</v>
      </c>
      <c r="R67" s="124">
        <f ca="1">IFERROR(__xludf.DUMMYFUNCTION("IMPORTRANGE(""https://docs.google.com/spreadsheets/d/12pGRKgvn2b31Uz_fjAl3XPzZUM_F2_O-zAHL2XHEPZg/edit?usp=sharing"",""รวมเหนือ!R67"")+IMPORTRANGE(""https://docs.google.com/spreadsheets/d/1c0UfJUA6nE6esVMy0kRcX_PENtt96DMxicQpqi3tips/edit?usp=sharing"",""ร"&amp;"วมตะวันออกเฉียงเหนือ!R67"")+IMPORTRANGE(""https://docs.google.com/spreadsheets/d/1iNWbYmj0agxPDl_yJgGu1eIremFPVMUuMWUKAjBzvrk/edit?usp=sharing"",""รวมกลาง!R67"")+IMPORTRANGE(""https://docs.google.com/spreadsheets/d/1uenpWDAH2bchvfvsSIjpd4bRU5D1faxJOaE34GQ"&amp;"M5-c/edit?usp=sharing"",""รวมใต้!R67"")"),0)</f>
        <v>0</v>
      </c>
      <c r="S67" s="124">
        <f ca="1">IFERROR(__xludf.DUMMYFUNCTION("IMPORTRANGE(""https://docs.google.com/spreadsheets/d/12pGRKgvn2b31Uz_fjAl3XPzZUM_F2_O-zAHL2XHEPZg/edit?usp=sharing"",""รวมเหนือ!S67"")+IMPORTRANGE(""https://docs.google.com/spreadsheets/d/1c0UfJUA6nE6esVMy0kRcX_PENtt96DMxicQpqi3tips/edit?usp=sharing"",""ร"&amp;"วมตะวันออกเฉียงเหนือ!S67"")+IMPORTRANGE(""https://docs.google.com/spreadsheets/d/1iNWbYmj0agxPDl_yJgGu1eIremFPVMUuMWUKAjBzvrk/edit?usp=sharing"",""รวมกลาง!S67"")+IMPORTRANGE(""https://docs.google.com/spreadsheets/d/1uenpWDAH2bchvfvsSIjpd4bRU5D1faxJOaE34GQ"&amp;"M5-c/edit?usp=sharing"",""รวมใต้!S67"")"),0)</f>
        <v>0</v>
      </c>
      <c r="T67" s="124">
        <f t="shared" ca="1" si="39"/>
        <v>0</v>
      </c>
      <c r="U67" s="124">
        <f t="shared" ca="1" si="40"/>
        <v>0</v>
      </c>
    </row>
    <row r="68" spans="1:21" ht="19.5" x14ac:dyDescent="0.3">
      <c r="A68" s="125" t="s">
        <v>31</v>
      </c>
      <c r="B68" s="126"/>
      <c r="C68" s="126"/>
      <c r="D68" s="126"/>
      <c r="E68" s="127"/>
      <c r="F68" s="127"/>
      <c r="G68" s="127"/>
      <c r="H68" s="127"/>
      <c r="I68" s="128"/>
      <c r="J68" s="128"/>
      <c r="K68" s="129"/>
      <c r="L68" s="129"/>
      <c r="M68" s="129"/>
      <c r="N68" s="129"/>
      <c r="O68" s="129"/>
      <c r="P68" s="130"/>
      <c r="Q68" s="129"/>
      <c r="R68" s="129"/>
      <c r="S68" s="129"/>
      <c r="T68" s="129"/>
      <c r="U68" s="130"/>
    </row>
    <row r="69" spans="1:21" ht="19.5" x14ac:dyDescent="0.3">
      <c r="A69" s="131" t="s">
        <v>32</v>
      </c>
      <c r="B69" s="132"/>
      <c r="C69" s="133"/>
      <c r="D69" s="132"/>
      <c r="E69" s="132"/>
      <c r="F69" s="132"/>
      <c r="G69" s="134"/>
      <c r="H69" s="134"/>
      <c r="I69" s="135"/>
      <c r="J69" s="135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</row>
    <row r="70" spans="1:21" ht="19.5" x14ac:dyDescent="0.3">
      <c r="A70" s="137"/>
      <c r="B70" s="138" t="s">
        <v>33</v>
      </c>
      <c r="C70" s="24"/>
      <c r="D70" s="139"/>
      <c r="E70" s="24"/>
      <c r="F70" s="24"/>
      <c r="G70" s="27"/>
      <c r="H70" s="140" t="s">
        <v>34</v>
      </c>
      <c r="I70" s="141">
        <f t="shared" ref="I70:J70" ca="1" si="49">I82</f>
        <v>42</v>
      </c>
      <c r="J70" s="141">
        <f t="shared" ca="1" si="49"/>
        <v>42</v>
      </c>
      <c r="K70" s="31">
        <f t="shared" ref="K70:K71" ca="1" si="50">IF(I70&gt;0,J70*100/I70,0)</f>
        <v>100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19.5" x14ac:dyDescent="0.3">
      <c r="A71" s="137"/>
      <c r="B71" s="24"/>
      <c r="C71" s="24"/>
      <c r="D71" s="139"/>
      <c r="E71" s="24"/>
      <c r="F71" s="24"/>
      <c r="G71" s="27"/>
      <c r="H71" s="140" t="s">
        <v>35</v>
      </c>
      <c r="I71" s="141">
        <f t="shared" ref="I71:J71" ca="1" si="51">I83</f>
        <v>1844</v>
      </c>
      <c r="J71" s="141">
        <f t="shared" ca="1" si="51"/>
        <v>1844</v>
      </c>
      <c r="K71" s="31">
        <f t="shared" ca="1" si="50"/>
        <v>100</v>
      </c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19.5" x14ac:dyDescent="0.3">
      <c r="A72" s="142"/>
      <c r="B72" s="36"/>
      <c r="C72" s="143" t="s">
        <v>18</v>
      </c>
      <c r="D72" s="144" t="s">
        <v>19</v>
      </c>
      <c r="E72" s="36"/>
      <c r="F72" s="36"/>
      <c r="G72" s="38"/>
      <c r="H72" s="145" t="s">
        <v>14</v>
      </c>
      <c r="I72" s="40"/>
      <c r="J72" s="40"/>
      <c r="K72" s="41"/>
      <c r="L72" s="146">
        <f t="shared" ref="L72:N72" ca="1" si="52">L73+L74</f>
        <v>11456200</v>
      </c>
      <c r="M72" s="146">
        <f t="shared" ca="1" si="52"/>
        <v>11456200</v>
      </c>
      <c r="N72" s="146">
        <f t="shared" ca="1" si="52"/>
        <v>11454544.33</v>
      </c>
      <c r="O72" s="146">
        <f t="shared" ref="O72:O80" ca="1" si="53">IF(L72&gt;0,N72*100/L72,0)</f>
        <v>99.985547825631542</v>
      </c>
      <c r="P72" s="146">
        <f t="shared" ref="P72:P80" ca="1" si="54">IF(M72&gt;0,N72*100/M72,0)</f>
        <v>99.985547825631542</v>
      </c>
      <c r="Q72" s="146">
        <f t="shared" ref="Q72:S72" ca="1" si="55">Q73+Q74</f>
        <v>23600000</v>
      </c>
      <c r="R72" s="146">
        <f t="shared" ca="1" si="55"/>
        <v>27444280</v>
      </c>
      <c r="S72" s="146">
        <f t="shared" ca="1" si="55"/>
        <v>16956013.5</v>
      </c>
      <c r="T72" s="146">
        <f t="shared" ref="T72:T80" ca="1" si="56">IF(Q72&gt;0,S72*100/Q72,0)</f>
        <v>71.847514830508473</v>
      </c>
      <c r="U72" s="146">
        <f t="shared" ref="U72:U80" ca="1" si="57">IF(R72&gt;0,S72*100/R72,0)</f>
        <v>61.783415341921888</v>
      </c>
    </row>
    <row r="73" spans="1:21" ht="18.75" x14ac:dyDescent="0.25">
      <c r="A73" s="142"/>
      <c r="B73" s="36"/>
      <c r="C73" s="36"/>
      <c r="D73" s="36"/>
      <c r="E73" s="43" t="s">
        <v>20</v>
      </c>
      <c r="F73" s="36"/>
      <c r="G73" s="38"/>
      <c r="H73" s="147" t="s">
        <v>14</v>
      </c>
      <c r="I73" s="40"/>
      <c r="J73" s="40"/>
      <c r="K73" s="41"/>
      <c r="L73" s="42">
        <f t="shared" ref="L73:N73" ca="1" si="58">L76+L79</f>
        <v>2332600</v>
      </c>
      <c r="M73" s="42">
        <f t="shared" ca="1" si="58"/>
        <v>2252672.34</v>
      </c>
      <c r="N73" s="42">
        <f t="shared" ca="1" si="58"/>
        <v>2251016.6800000002</v>
      </c>
      <c r="O73" s="42">
        <f t="shared" ca="1" si="53"/>
        <v>96.502472777158545</v>
      </c>
      <c r="P73" s="42">
        <f t="shared" ca="1" si="54"/>
        <v>99.926502404695057</v>
      </c>
      <c r="Q73" s="42">
        <f ca="1">IFERROR(__xludf.DUMMYFUNCTION("IMPORTRANGE(""https://docs.google.com/spreadsheets/d/1ItG2mGa2ceCfYo0BwxsXqNm01IGEUdYcSSLTEv9YCik/edit?usp=sharing"",""เบิกจ่ายกองทุน!BH11"")"),1245215)</f>
        <v>1245215</v>
      </c>
      <c r="R73" s="42">
        <f ca="1">IFERROR(__xludf.DUMMYFUNCTION("IMPORTRANGE(""https://docs.google.com/spreadsheets/d/1ItG2mGa2ceCfYo0BwxsXqNm01IGEUdYcSSLTEv9YCik/edit?usp=sharing"",""เบิกจ่ายกองทุน!BI11"")"),1235835)</f>
        <v>1235835</v>
      </c>
      <c r="S73" s="42">
        <f ca="1">IFERROR(__xludf.DUMMYFUNCTION("IMPORTRANGE(""https://docs.google.com/spreadsheets/d/1ItG2mGa2ceCfYo0BwxsXqNm01IGEUdYcSSLTEv9YCik/edit?usp=sharing"",""เบิกจ่ายกองทุน!BJ11"")"),54690)</f>
        <v>54690</v>
      </c>
      <c r="T73" s="42">
        <f t="shared" ca="1" si="56"/>
        <v>4.3920126243259192</v>
      </c>
      <c r="U73" s="42">
        <f t="shared" ca="1" si="57"/>
        <v>4.4253480440350046</v>
      </c>
    </row>
    <row r="74" spans="1:21" ht="18.75" x14ac:dyDescent="0.25">
      <c r="A74" s="142"/>
      <c r="B74" s="36"/>
      <c r="C74" s="36"/>
      <c r="D74" s="36"/>
      <c r="E74" s="43" t="s">
        <v>21</v>
      </c>
      <c r="F74" s="36"/>
      <c r="G74" s="38"/>
      <c r="H74" s="147" t="s">
        <v>14</v>
      </c>
      <c r="I74" s="40"/>
      <c r="J74" s="40"/>
      <c r="K74" s="41"/>
      <c r="L74" s="42">
        <f t="shared" ref="L74:N74" ca="1" si="59">L77+L80</f>
        <v>9123600</v>
      </c>
      <c r="M74" s="42">
        <f t="shared" ca="1" si="59"/>
        <v>9203527.6600000001</v>
      </c>
      <c r="N74" s="42">
        <f t="shared" ca="1" si="59"/>
        <v>9203527.6500000004</v>
      </c>
      <c r="O74" s="42">
        <f t="shared" ca="1" si="53"/>
        <v>100.87605386031829</v>
      </c>
      <c r="P74" s="42">
        <f t="shared" ca="1" si="54"/>
        <v>99.999999891346008</v>
      </c>
      <c r="Q74" s="42">
        <f ca="1">IFERROR(__xludf.DUMMYFUNCTION("IMPORTRANGE(""https://docs.google.com/spreadsheets/d/12pGRKgvn2b31Uz_fjAl3XPzZUM_F2_O-zAHL2XHEPZg/edit?usp=sharing"",""รวมเหนือ!Q72"")+IMPORTRANGE(""https://docs.google.com/spreadsheets/d/1c0UfJUA6nE6esVMy0kRcX_PENtt96DMxicQpqi3tips/edit?usp=sharing"",""ร"&amp;"วมตะวันออกเฉียงเหนือ!Q72"")+IMPORTRANGE(""https://docs.google.com/spreadsheets/d/1iNWbYmj0agxPDl_yJgGu1eIremFPVMUuMWUKAjBzvrk/edit?usp=sharing"",""รวมกลาง!Q72"")+IMPORTRANGE(""https://docs.google.com/spreadsheets/d/1uenpWDAH2bchvfvsSIjpd4bRU5D1faxJOaE34GQ"&amp;"M5-c/edit?usp=sharing"",""รวมใต้!Q72"")"),22354785)</f>
        <v>22354785</v>
      </c>
      <c r="R74" s="42">
        <f ca="1">IFERROR(__xludf.DUMMYFUNCTION("IMPORTRANGE(""https://docs.google.com/spreadsheets/d/12pGRKgvn2b31Uz_fjAl3XPzZUM_F2_O-zAHL2XHEPZg/edit?usp=sharing"",""รวมเหนือ!R72"")+IMPORTRANGE(""https://docs.google.com/spreadsheets/d/1c0UfJUA6nE6esVMy0kRcX_PENtt96DMxicQpqi3tips/edit?usp=sharing"",""ร"&amp;"วมตะวันออกเฉียงเหนือ!R72"")+IMPORTRANGE(""https://docs.google.com/spreadsheets/d/1iNWbYmj0agxPDl_yJgGu1eIremFPVMUuMWUKAjBzvrk/edit?usp=sharing"",""รวมกลาง!R72"")+IMPORTRANGE(""https://docs.google.com/spreadsheets/d/1uenpWDAH2bchvfvsSIjpd4bRU5D1faxJOaE34GQ"&amp;"M5-c/edit?usp=sharing"",""รวมใต้!R72"")"),26208445)</f>
        <v>26208445</v>
      </c>
      <c r="S74" s="42">
        <f ca="1">IFERROR(__xludf.DUMMYFUNCTION("IMPORTRANGE(""https://docs.google.com/spreadsheets/d/12pGRKgvn2b31Uz_fjAl3XPzZUM_F2_O-zAHL2XHEPZg/edit?usp=sharing"",""รวมเหนือ!S72"")+IMPORTRANGE(""https://docs.google.com/spreadsheets/d/1c0UfJUA6nE6esVMy0kRcX_PENtt96DMxicQpqi3tips/edit?usp=sharing"",""ร"&amp;"วมตะวันออกเฉียงเหนือ!S72"")+IMPORTRANGE(""https://docs.google.com/spreadsheets/d/1iNWbYmj0agxPDl_yJgGu1eIremFPVMUuMWUKAjBzvrk/edit?usp=sharing"",""รวมกลาง!S72"")+IMPORTRANGE(""https://docs.google.com/spreadsheets/d/1uenpWDAH2bchvfvsSIjpd4bRU5D1faxJOaE34GQ"&amp;"M5-c/edit?usp=sharing"",""รวมใต้!S72"")"),16901323.5)</f>
        <v>16901323.5</v>
      </c>
      <c r="T74" s="42">
        <f t="shared" ca="1" si="56"/>
        <v>75.604947665566897</v>
      </c>
      <c r="U74" s="42">
        <f t="shared" ca="1" si="57"/>
        <v>64.488081990366084</v>
      </c>
    </row>
    <row r="75" spans="1:21" ht="18.75" x14ac:dyDescent="0.25">
      <c r="A75" s="142"/>
      <c r="B75" s="36"/>
      <c r="C75" s="36"/>
      <c r="D75" s="37" t="s">
        <v>22</v>
      </c>
      <c r="E75" s="36"/>
      <c r="F75" s="36"/>
      <c r="G75" s="38"/>
      <c r="H75" s="148" t="s">
        <v>14</v>
      </c>
      <c r="I75" s="149"/>
      <c r="J75" s="149"/>
      <c r="K75" s="150"/>
      <c r="L75" s="42">
        <f t="shared" ref="L75:N75" ca="1" si="60">L76+L77</f>
        <v>11456200</v>
      </c>
      <c r="M75" s="42">
        <f t="shared" ca="1" si="60"/>
        <v>11456200</v>
      </c>
      <c r="N75" s="42">
        <f t="shared" ca="1" si="60"/>
        <v>11454544.33</v>
      </c>
      <c r="O75" s="42">
        <f t="shared" ca="1" si="53"/>
        <v>99.985547825631542</v>
      </c>
      <c r="P75" s="42">
        <f t="shared" ca="1" si="54"/>
        <v>99.985547825631542</v>
      </c>
      <c r="Q75" s="42">
        <f t="shared" ref="Q75:S75" ca="1" si="61">Q76+Q77</f>
        <v>0</v>
      </c>
      <c r="R75" s="42">
        <f t="shared" ca="1" si="61"/>
        <v>0</v>
      </c>
      <c r="S75" s="42">
        <f t="shared" ca="1" si="61"/>
        <v>0</v>
      </c>
      <c r="T75" s="42">
        <f t="shared" ca="1" si="56"/>
        <v>0</v>
      </c>
      <c r="U75" s="42">
        <f t="shared" ca="1" si="57"/>
        <v>0</v>
      </c>
    </row>
    <row r="76" spans="1:21" ht="18.75" x14ac:dyDescent="0.25">
      <c r="A76" s="142"/>
      <c r="B76" s="36"/>
      <c r="C76" s="36"/>
      <c r="D76" s="36"/>
      <c r="E76" s="43" t="s">
        <v>36</v>
      </c>
      <c r="F76" s="36"/>
      <c r="G76" s="38"/>
      <c r="H76" s="148" t="s">
        <v>14</v>
      </c>
      <c r="I76" s="149"/>
      <c r="J76" s="149"/>
      <c r="K76" s="150"/>
      <c r="L76" s="42">
        <f ca="1">IFERROR(__xludf.DUMMYFUNCTION("IMPORTRANGE(""https://docs.google.com/spreadsheets/d/1-uDff_7J0KD5mKrp0Vvzr7lt3OU09vwQwhkpOPPYv2Y/edit?usp=sharing"",""งบพรบ!AM9"")"),2332600)</f>
        <v>2332600</v>
      </c>
      <c r="M76" s="42">
        <f ca="1">IFERROR(__xludf.DUMMYFUNCTION("IMPORTRANGE(""https://docs.google.com/spreadsheets/d/1-uDff_7J0KD5mKrp0Vvzr7lt3OU09vwQwhkpOPPYv2Y/edit?usp=sharing"",""งบพรบ!AR9"")"),2252672.34)</f>
        <v>2252672.34</v>
      </c>
      <c r="N76" s="42">
        <f ca="1">IFERROR(__xludf.DUMMYFUNCTION("IMPORTRANGE(""https://docs.google.com/spreadsheets/d/1-uDff_7J0KD5mKrp0Vvzr7lt3OU09vwQwhkpOPPYv2Y/edit?usp=sharing"",""งบพรบ!AT9"")"),2251016.68)</f>
        <v>2251016.6800000002</v>
      </c>
      <c r="O76" s="42">
        <f t="shared" ca="1" si="53"/>
        <v>96.502472777158545</v>
      </c>
      <c r="P76" s="42">
        <f t="shared" ca="1" si="54"/>
        <v>99.926502404695057</v>
      </c>
      <c r="Q76" s="42">
        <v>0</v>
      </c>
      <c r="R76" s="42">
        <v>0</v>
      </c>
      <c r="S76" s="42">
        <v>0</v>
      </c>
      <c r="T76" s="42">
        <f t="shared" si="56"/>
        <v>0</v>
      </c>
      <c r="U76" s="42">
        <f t="shared" si="57"/>
        <v>0</v>
      </c>
    </row>
    <row r="77" spans="1:21" ht="18.75" x14ac:dyDescent="0.25">
      <c r="A77" s="142"/>
      <c r="B77" s="36"/>
      <c r="C77" s="36"/>
      <c r="D77" s="36"/>
      <c r="E77" s="43" t="s">
        <v>37</v>
      </c>
      <c r="F77" s="36"/>
      <c r="G77" s="38"/>
      <c r="H77" s="148" t="s">
        <v>14</v>
      </c>
      <c r="I77" s="149"/>
      <c r="J77" s="149"/>
      <c r="K77" s="150"/>
      <c r="L77" s="42">
        <f ca="1">IFERROR(__xludf.DUMMYFUNCTION("IMPORTRANGE(""https://docs.google.com/spreadsheets/d/12pGRKgvn2b31Uz_fjAl3XPzZUM_F2_O-zAHL2XHEPZg/edit?usp=sharing"",""รวมเหนือ!L77"")+IMPORTRANGE(""https://docs.google.com/spreadsheets/d/1c0UfJUA6nE6esVMy0kRcX_PENtt96DMxicQpqi3tips/edit?usp=sharing"",""ร"&amp;"วมตะวันออกเฉียงเหนือ!L77"")+IMPORTRANGE(""https://docs.google.com/spreadsheets/d/1iNWbYmj0agxPDl_yJgGu1eIremFPVMUuMWUKAjBzvrk/edit?usp=sharing"",""รวมกลาง!L77"")+IMPORTRANGE(""https://docs.google.com/spreadsheets/d/1uenpWDAH2bchvfvsSIjpd4bRU5D1faxJOaE34GQ"&amp;"M5-c/edit?usp=sharing"",""รวมใต้!L77"")"),9123600)</f>
        <v>9123600</v>
      </c>
      <c r="M77" s="42">
        <f ca="1">IFERROR(__xludf.DUMMYFUNCTION("IMPORTRANGE(""https://docs.google.com/spreadsheets/d/12pGRKgvn2b31Uz_fjAl3XPzZUM_F2_O-zAHL2XHEPZg/edit?usp=sharing"",""รวมเหนือ!M77"")+IMPORTRANGE(""https://docs.google.com/spreadsheets/d/1c0UfJUA6nE6esVMy0kRcX_PENtt96DMxicQpqi3tips/edit?usp=sharing"",""ร"&amp;"วมตะวันออกเฉียงเหนือ!M77"")+IMPORTRANGE(""https://docs.google.com/spreadsheets/d/1iNWbYmj0agxPDl_yJgGu1eIremFPVMUuMWUKAjBzvrk/edit?usp=sharing"",""รวมกลาง!M77"")+IMPORTRANGE(""https://docs.google.com/spreadsheets/d/1uenpWDAH2bchvfvsSIjpd4bRU5D1faxJOaE34GQ"&amp;"M5-c/edit?usp=sharing"",""รวมใต้!M77"")"),9203527.66)</f>
        <v>9203527.6600000001</v>
      </c>
      <c r="N77" s="42">
        <f ca="1">IFERROR(__xludf.DUMMYFUNCTION("IMPORTRANGE(""https://docs.google.com/spreadsheets/d/12pGRKgvn2b31Uz_fjAl3XPzZUM_F2_O-zAHL2XHEPZg/edit?usp=sharing"",""รวมเหนือ!N77"")+IMPORTRANGE(""https://docs.google.com/spreadsheets/d/1c0UfJUA6nE6esVMy0kRcX_PENtt96DMxicQpqi3tips/edit?usp=sharing"",""ร"&amp;"วมตะวันออกเฉียงเหนือ!N77"")+IMPORTRANGE(""https://docs.google.com/spreadsheets/d/1iNWbYmj0agxPDl_yJgGu1eIremFPVMUuMWUKAjBzvrk/edit?usp=sharing"",""รวมกลาง!N77"")+IMPORTRANGE(""https://docs.google.com/spreadsheets/d/1uenpWDAH2bchvfvsSIjpd4bRU5D1faxJOaE34GQ"&amp;"M5-c/edit?usp=sharing"",""รวมใต้!N77"")"),9203527.65)</f>
        <v>9203527.6500000004</v>
      </c>
      <c r="O77" s="42">
        <f t="shared" ca="1" si="53"/>
        <v>100.87605386031829</v>
      </c>
      <c r="P77" s="42">
        <f t="shared" ca="1" si="54"/>
        <v>99.999999891346008</v>
      </c>
      <c r="Q77" s="42">
        <f ca="1">IFERROR(__xludf.DUMMYFUNCTION("IMPORTRANGE(""https://docs.google.com/spreadsheets/d/12pGRKgvn2b31Uz_fjAl3XPzZUM_F2_O-zAHL2XHEPZg/edit?usp=sharing"",""รวมเหนือ!Q77"")+IMPORTRANGE(""https://docs.google.com/spreadsheets/d/1c0UfJUA6nE6esVMy0kRcX_PENtt96DMxicQpqi3tips/edit?usp=sharing"",""ร"&amp;"วมตะวันออกเฉียงเหนือ!Q77"")+IMPORTRANGE(""https://docs.google.com/spreadsheets/d/1iNWbYmj0agxPDl_yJgGu1eIremFPVMUuMWUKAjBzvrk/edit?usp=sharing"",""รวมกลาง!Q77"")+IMPORTRANGE(""https://docs.google.com/spreadsheets/d/1uenpWDAH2bchvfvsSIjpd4bRU5D1faxJOaE34GQ"&amp;"M5-c/edit?usp=sharing"",""รวมใต้!Q77"")"),0)</f>
        <v>0</v>
      </c>
      <c r="R77" s="42">
        <f ca="1">IFERROR(__xludf.DUMMYFUNCTION("IMPORTRANGE(""https://docs.google.com/spreadsheets/d/12pGRKgvn2b31Uz_fjAl3XPzZUM_F2_O-zAHL2XHEPZg/edit?usp=sharing"",""รวมเหนือ!R77"")+IMPORTRANGE(""https://docs.google.com/spreadsheets/d/1c0UfJUA6nE6esVMy0kRcX_PENtt96DMxicQpqi3tips/edit?usp=sharing"",""ร"&amp;"วมตะวันออกเฉียงเหนือ!R77"")+IMPORTRANGE(""https://docs.google.com/spreadsheets/d/1iNWbYmj0agxPDl_yJgGu1eIremFPVMUuMWUKAjBzvrk/edit?usp=sharing"",""รวมกลาง!R77"")+IMPORTRANGE(""https://docs.google.com/spreadsheets/d/1uenpWDAH2bchvfvsSIjpd4bRU5D1faxJOaE34GQ"&amp;"M5-c/edit?usp=sharing"",""รวมใต้!R77"")"),0)</f>
        <v>0</v>
      </c>
      <c r="S77" s="42">
        <f ca="1">IFERROR(__xludf.DUMMYFUNCTION("IMPORTRANGE(""https://docs.google.com/spreadsheets/d/12pGRKgvn2b31Uz_fjAl3XPzZUM_F2_O-zAHL2XHEPZg/edit?usp=sharing"",""รวมเหนือ!S77"")+IMPORTRANGE(""https://docs.google.com/spreadsheets/d/1c0UfJUA6nE6esVMy0kRcX_PENtt96DMxicQpqi3tips/edit?usp=sharing"",""ร"&amp;"วมตะวันออกเฉียงเหนือ!S77"")+IMPORTRANGE(""https://docs.google.com/spreadsheets/d/1iNWbYmj0agxPDl_yJgGu1eIremFPVMUuMWUKAjBzvrk/edit?usp=sharing"",""รวมกลาง!S77"")+IMPORTRANGE(""https://docs.google.com/spreadsheets/d/1uenpWDAH2bchvfvsSIjpd4bRU5D1faxJOaE34GQ"&amp;"M5-c/edit?usp=sharing"",""รวมใต้!S77"")"),0)</f>
        <v>0</v>
      </c>
      <c r="T77" s="42">
        <f t="shared" ca="1" si="56"/>
        <v>0</v>
      </c>
      <c r="U77" s="42">
        <f t="shared" ca="1" si="57"/>
        <v>0</v>
      </c>
    </row>
    <row r="78" spans="1:21" ht="18.75" x14ac:dyDescent="0.25">
      <c r="A78" s="142"/>
      <c r="B78" s="36"/>
      <c r="C78" s="36"/>
      <c r="D78" s="37" t="s">
        <v>23</v>
      </c>
      <c r="E78" s="36"/>
      <c r="F78" s="36"/>
      <c r="G78" s="38"/>
      <c r="H78" s="151" t="s">
        <v>14</v>
      </c>
      <c r="I78" s="149"/>
      <c r="J78" s="149"/>
      <c r="K78" s="150"/>
      <c r="L78" s="42">
        <f t="shared" ref="L78:N78" ca="1" si="62">L79+L80</f>
        <v>0</v>
      </c>
      <c r="M78" s="42">
        <f t="shared" ca="1" si="62"/>
        <v>0</v>
      </c>
      <c r="N78" s="42">
        <f t="shared" ca="1" si="62"/>
        <v>0</v>
      </c>
      <c r="O78" s="42">
        <f t="shared" ca="1" si="53"/>
        <v>0</v>
      </c>
      <c r="P78" s="42">
        <f t="shared" ca="1" si="54"/>
        <v>0</v>
      </c>
      <c r="Q78" s="42">
        <f t="shared" ref="Q78:S78" ca="1" si="63">Q79+Q80</f>
        <v>0</v>
      </c>
      <c r="R78" s="42">
        <f t="shared" ca="1" si="63"/>
        <v>0</v>
      </c>
      <c r="S78" s="42">
        <f t="shared" ca="1" si="63"/>
        <v>0</v>
      </c>
      <c r="T78" s="42">
        <f t="shared" ca="1" si="56"/>
        <v>0</v>
      </c>
      <c r="U78" s="42">
        <f t="shared" ca="1" si="57"/>
        <v>0</v>
      </c>
    </row>
    <row r="79" spans="1:21" ht="18.75" x14ac:dyDescent="0.25">
      <c r="A79" s="142"/>
      <c r="B79" s="36"/>
      <c r="C79" s="36"/>
      <c r="D79" s="36"/>
      <c r="E79" s="43" t="s">
        <v>20</v>
      </c>
      <c r="F79" s="36"/>
      <c r="G79" s="38"/>
      <c r="H79" s="148" t="s">
        <v>14</v>
      </c>
      <c r="I79" s="149"/>
      <c r="J79" s="149"/>
      <c r="K79" s="150"/>
      <c r="L79" s="42">
        <f ca="1">IFERROR(__xludf.DUMMYFUNCTION("IMPORTRANGE(""https://docs.google.com/spreadsheets/d/1-uDff_7J0KD5mKrp0Vvzr7lt3OU09vwQwhkpOPPYv2Y/edit?usp=sharing"",""งบพรบ!AP9"")"),0)</f>
        <v>0</v>
      </c>
      <c r="M79" s="42">
        <f ca="1">IFERROR(__xludf.DUMMYFUNCTION("IMPORTRANGE(""https://docs.google.com/spreadsheets/d/1-uDff_7J0KD5mKrp0Vvzr7lt3OU09vwQwhkpOPPYv2Y/edit?usp=sharing"",""งบพรบ!AS9"")"),0)</f>
        <v>0</v>
      </c>
      <c r="N79" s="42">
        <f ca="1">IFERROR(__xludf.DUMMYFUNCTION("IMPORTRANGE(""https://docs.google.com/spreadsheets/d/1-uDff_7J0KD5mKrp0Vvzr7lt3OU09vwQwhkpOPPYv2Y/edit?usp=sharing"",""งบพรบ!AU9"")"),0)</f>
        <v>0</v>
      </c>
      <c r="O79" s="42">
        <f t="shared" ca="1" si="53"/>
        <v>0</v>
      </c>
      <c r="P79" s="42">
        <f t="shared" ca="1" si="54"/>
        <v>0</v>
      </c>
      <c r="Q79" s="42">
        <f ca="1">IFERROR(__xludf.DUMMYFUNCTION("IMPORTRANGE(""https://docs.google.com/spreadsheets/d/1ItG2mGa2ceCfYo0BwxsXqNm01IGEUdYcSSLTEv9YCik/edit?usp=sharing"",""เบิกจ่ายกองทุน!BK11"")"),0)</f>
        <v>0</v>
      </c>
      <c r="R79" s="42">
        <f ca="1">IFERROR(__xludf.DUMMYFUNCTION("IMPORTRANGE(""https://docs.google.com/spreadsheets/d/1ItG2mGa2ceCfYo0BwxsXqNm01IGEUdYcSSLTEv9YCik/edit?usp=sharing"",""เบิกจ่ายกองทุน!BL11"")"),0)</f>
        <v>0</v>
      </c>
      <c r="S79" s="42">
        <f ca="1">IFERROR(__xludf.DUMMYFUNCTION("IMPORTRANGE(""https://docs.google.com/spreadsheets/d/1ItG2mGa2ceCfYo0BwxsXqNm01IGEUdYcSSLTEv9YCik/edit?usp=sharing"",""เบิกจ่ายกองทุน!BM11"")"),0)</f>
        <v>0</v>
      </c>
      <c r="T79" s="42">
        <f t="shared" ca="1" si="56"/>
        <v>0</v>
      </c>
      <c r="U79" s="42">
        <f t="shared" ca="1" si="57"/>
        <v>0</v>
      </c>
    </row>
    <row r="80" spans="1:21" ht="18.75" x14ac:dyDescent="0.25">
      <c r="A80" s="142"/>
      <c r="B80" s="36"/>
      <c r="C80" s="36"/>
      <c r="D80" s="36"/>
      <c r="E80" s="43" t="s">
        <v>21</v>
      </c>
      <c r="F80" s="36"/>
      <c r="G80" s="38"/>
      <c r="H80" s="151" t="s">
        <v>14</v>
      </c>
      <c r="I80" s="149"/>
      <c r="J80" s="149"/>
      <c r="K80" s="150"/>
      <c r="L80" s="42">
        <f ca="1">IFERROR(__xludf.DUMMYFUNCTION("IMPORTRANGE(""https://docs.google.com/spreadsheets/d/12pGRKgvn2b31Uz_fjAl3XPzZUM_F2_O-zAHL2XHEPZg/edit?usp=sharing"",""รวมเหนือ!L80"")+IMPORTRANGE(""https://docs.google.com/spreadsheets/d/1c0UfJUA6nE6esVMy0kRcX_PENtt96DMxicQpqi3tips/edit?usp=sharing"",""ร"&amp;"วมตะวันออกเฉียงเหนือ!L80"")+IMPORTRANGE(""https://docs.google.com/spreadsheets/d/1iNWbYmj0agxPDl_yJgGu1eIremFPVMUuMWUKAjBzvrk/edit?usp=sharing"",""รวมกลาง!L80"")+IMPORTRANGE(""https://docs.google.com/spreadsheets/d/1uenpWDAH2bchvfvsSIjpd4bRU5D1faxJOaE34GQ"&amp;"M5-c/edit?usp=sharing"",""รวมใต้!L80"")"),0)</f>
        <v>0</v>
      </c>
      <c r="M80" s="42">
        <f ca="1">IFERROR(__xludf.DUMMYFUNCTION("IMPORTRANGE(""https://docs.google.com/spreadsheets/d/12pGRKgvn2b31Uz_fjAl3XPzZUM_F2_O-zAHL2XHEPZg/edit?usp=sharing"",""รวมเหนือ!M80"")+IMPORTRANGE(""https://docs.google.com/spreadsheets/d/1c0UfJUA6nE6esVMy0kRcX_PENtt96DMxicQpqi3tips/edit?usp=sharing"",""ร"&amp;"วมตะวันออกเฉียงเหนือ!M80"")+IMPORTRANGE(""https://docs.google.com/spreadsheets/d/1iNWbYmj0agxPDl_yJgGu1eIremFPVMUuMWUKAjBzvrk/edit?usp=sharing"",""รวมกลาง!M80"")+IMPORTRANGE(""https://docs.google.com/spreadsheets/d/1uenpWDAH2bchvfvsSIjpd4bRU5D1faxJOaE34GQ"&amp;"M5-c/edit?usp=sharing"",""รวมใต้!M80"")"),0)</f>
        <v>0</v>
      </c>
      <c r="N80" s="42">
        <f ca="1">IFERROR(__xludf.DUMMYFUNCTION("IMPORTRANGE(""https://docs.google.com/spreadsheets/d/12pGRKgvn2b31Uz_fjAl3XPzZUM_F2_O-zAHL2XHEPZg/edit?usp=sharing"",""รวมเหนือ!N80"")+IMPORTRANGE(""https://docs.google.com/spreadsheets/d/1c0UfJUA6nE6esVMy0kRcX_PENtt96DMxicQpqi3tips/edit?usp=sharing"",""ร"&amp;"วมตะวันออกเฉียงเหนือ!N80"")+IMPORTRANGE(""https://docs.google.com/spreadsheets/d/1iNWbYmj0agxPDl_yJgGu1eIremFPVMUuMWUKAjBzvrk/edit?usp=sharing"",""รวมกลาง!N80"")+IMPORTRANGE(""https://docs.google.com/spreadsheets/d/1uenpWDAH2bchvfvsSIjpd4bRU5D1faxJOaE34GQ"&amp;"M5-c/edit?usp=sharing"",""รวมใต้!N80"")"),0)</f>
        <v>0</v>
      </c>
      <c r="O80" s="42">
        <f t="shared" ca="1" si="53"/>
        <v>0</v>
      </c>
      <c r="P80" s="42">
        <f t="shared" ca="1" si="54"/>
        <v>0</v>
      </c>
      <c r="Q80" s="42">
        <f ca="1">IFERROR(__xludf.DUMMYFUNCTION("IMPORTRANGE(""https://docs.google.com/spreadsheets/d/12pGRKgvn2b31Uz_fjAl3XPzZUM_F2_O-zAHL2XHEPZg/edit?usp=sharing"",""รวมเหนือ!Q80"")+IMPORTRANGE(""https://docs.google.com/spreadsheets/d/1c0UfJUA6nE6esVMy0kRcX_PENtt96DMxicQpqi3tips/edit?usp=sharing"",""ร"&amp;"วมตะวันออกเฉียงเหนือ!Q80"")+IMPORTRANGE(""https://docs.google.com/spreadsheets/d/1iNWbYmj0agxPDl_yJgGu1eIremFPVMUuMWUKAjBzvrk/edit?usp=sharing"",""รวมกลาง!Q80"")+IMPORTRANGE(""https://docs.google.com/spreadsheets/d/1uenpWDAH2bchvfvsSIjpd4bRU5D1faxJOaE34GQ"&amp;"M5-c/edit?usp=sharing"",""รวมใต้!Q80"")"),0)</f>
        <v>0</v>
      </c>
      <c r="R80" s="42">
        <f ca="1">IFERROR(__xludf.DUMMYFUNCTION("IMPORTRANGE(""https://docs.google.com/spreadsheets/d/12pGRKgvn2b31Uz_fjAl3XPzZUM_F2_O-zAHL2XHEPZg/edit?usp=sharing"",""รวมเหนือ!R80"")+IMPORTRANGE(""https://docs.google.com/spreadsheets/d/1c0UfJUA6nE6esVMy0kRcX_PENtt96DMxicQpqi3tips/edit?usp=sharing"",""ร"&amp;"วมตะวันออกเฉียงเหนือ!R80"")+IMPORTRANGE(""https://docs.google.com/spreadsheets/d/1iNWbYmj0agxPDl_yJgGu1eIremFPVMUuMWUKAjBzvrk/edit?usp=sharing"",""รวมกลาง!R80"")+IMPORTRANGE(""https://docs.google.com/spreadsheets/d/1uenpWDAH2bchvfvsSIjpd4bRU5D1faxJOaE34GQ"&amp;"M5-c/edit?usp=sharing"",""รวมใต้!R80"")"),0)</f>
        <v>0</v>
      </c>
      <c r="S80" s="42">
        <f ca="1">IFERROR(__xludf.DUMMYFUNCTION("IMPORTRANGE(""https://docs.google.com/spreadsheets/d/12pGRKgvn2b31Uz_fjAl3XPzZUM_F2_O-zAHL2XHEPZg/edit?usp=sharing"",""รวมเหนือ!S80"")+IMPORTRANGE(""https://docs.google.com/spreadsheets/d/1c0UfJUA6nE6esVMy0kRcX_PENtt96DMxicQpqi3tips/edit?usp=sharing"",""ร"&amp;"วมตะวันออกเฉียงเหนือ!S80"")+IMPORTRANGE(""https://docs.google.com/spreadsheets/d/1iNWbYmj0agxPDl_yJgGu1eIremFPVMUuMWUKAjBzvrk/edit?usp=sharing"",""รวมกลาง!S80"")+IMPORTRANGE(""https://docs.google.com/spreadsheets/d/1uenpWDAH2bchvfvsSIjpd4bRU5D1faxJOaE34GQ"&amp;"M5-c/edit?usp=sharing"",""รวมใต้!S80"")"),0)</f>
        <v>0</v>
      </c>
      <c r="T80" s="42">
        <f t="shared" ca="1" si="56"/>
        <v>0</v>
      </c>
      <c r="U80" s="42">
        <f t="shared" ca="1" si="57"/>
        <v>0</v>
      </c>
    </row>
    <row r="81" spans="1:21" ht="19.5" x14ac:dyDescent="0.3">
      <c r="A81" s="152"/>
      <c r="B81" s="153"/>
      <c r="C81" s="143" t="s">
        <v>18</v>
      </c>
      <c r="D81" s="154" t="s">
        <v>38</v>
      </c>
      <c r="E81" s="155"/>
      <c r="F81" s="155"/>
      <c r="G81" s="156"/>
      <c r="H81" s="157"/>
      <c r="I81" s="149"/>
      <c r="J81" s="149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</row>
    <row r="82" spans="1:21" ht="19.5" x14ac:dyDescent="0.3">
      <c r="A82" s="152"/>
      <c r="B82" s="153"/>
      <c r="C82" s="153"/>
      <c r="D82" s="158" t="s">
        <v>39</v>
      </c>
      <c r="E82" s="159"/>
      <c r="F82" s="159"/>
      <c r="G82" s="157"/>
      <c r="H82" s="160" t="s">
        <v>34</v>
      </c>
      <c r="I82" s="161">
        <f t="shared" ref="I82:J82" ca="1" si="64">I84+I86+I88</f>
        <v>42</v>
      </c>
      <c r="J82" s="161">
        <f t="shared" ca="1" si="64"/>
        <v>42</v>
      </c>
      <c r="K82" s="162">
        <f t="shared" ref="K82:K90" ca="1" si="65">IF(I82&gt;0,J82*100/I82,0)</f>
        <v>100</v>
      </c>
      <c r="L82" s="150"/>
      <c r="M82" s="150"/>
      <c r="N82" s="150"/>
      <c r="O82" s="150"/>
      <c r="P82" s="150"/>
      <c r="Q82" s="150"/>
      <c r="R82" s="150"/>
      <c r="S82" s="150"/>
      <c r="T82" s="150"/>
      <c r="U82" s="150"/>
    </row>
    <row r="83" spans="1:21" ht="19.5" x14ac:dyDescent="0.3">
      <c r="A83" s="152"/>
      <c r="B83" s="153"/>
      <c r="C83" s="153"/>
      <c r="D83" s="153"/>
      <c r="E83" s="159"/>
      <c r="F83" s="159"/>
      <c r="G83" s="157"/>
      <c r="H83" s="160" t="s">
        <v>35</v>
      </c>
      <c r="I83" s="161">
        <f t="shared" ref="I83:J83" ca="1" si="66">I85+I87+I89</f>
        <v>1844</v>
      </c>
      <c r="J83" s="161">
        <f t="shared" ca="1" si="66"/>
        <v>1844</v>
      </c>
      <c r="K83" s="162">
        <f t="shared" ca="1" si="65"/>
        <v>100</v>
      </c>
      <c r="L83" s="150"/>
      <c r="M83" s="150"/>
      <c r="N83" s="150"/>
      <c r="O83" s="150"/>
      <c r="P83" s="150"/>
      <c r="Q83" s="150"/>
      <c r="R83" s="150"/>
      <c r="S83" s="150"/>
      <c r="T83" s="150"/>
      <c r="U83" s="150"/>
    </row>
    <row r="84" spans="1:21" ht="18.75" x14ac:dyDescent="0.25">
      <c r="A84" s="152"/>
      <c r="B84" s="153"/>
      <c r="C84" s="153"/>
      <c r="D84" s="153"/>
      <c r="E84" s="163" t="s">
        <v>40</v>
      </c>
      <c r="F84" s="159"/>
      <c r="G84" s="157"/>
      <c r="H84" s="164" t="s">
        <v>34</v>
      </c>
      <c r="I84" s="165">
        <f ca="1">IFERROR(__xludf.DUMMYFUNCTION("IMPORTRANGE(""https://docs.google.com/spreadsheets/d/12pGRKgvn2b31Uz_fjAl3XPzZUM_F2_O-zAHL2XHEPZg/edit?usp=sharing"",""รวมเหนือ!I84"")+IMPORTRANGE(""https://docs.google.com/spreadsheets/d/1c0UfJUA6nE6esVMy0kRcX_PENtt96DMxicQpqi3tips/edit?usp=sharing"",""ร"&amp;"วมตะวันออกเฉียงเหนือ!I84"")+IMPORTRANGE(""https://docs.google.com/spreadsheets/d/1iNWbYmj0agxPDl_yJgGu1eIremFPVMUuMWUKAjBzvrk/edit?usp=sharing"",""รวมกลาง!I84"")+IMPORTRANGE(""https://docs.google.com/spreadsheets/d/1uenpWDAH2bchvfvsSIjpd4bRU5D1faxJOaE34GQ"&amp;"M5-c/edit?usp=sharing"",""รวมใต้!I84"")"),16)</f>
        <v>16</v>
      </c>
      <c r="J84" s="165">
        <f ca="1">IFERROR(__xludf.DUMMYFUNCTION("IMPORTRANGE(""https://docs.google.com/spreadsheets/d/12pGRKgvn2b31Uz_fjAl3XPzZUM_F2_O-zAHL2XHEPZg/edit?usp=sharing"",""รวมเหนือ!J84"")+IMPORTRANGE(""https://docs.google.com/spreadsheets/d/1c0UfJUA6nE6esVMy0kRcX_PENtt96DMxicQpqi3tips/edit?usp=sharing"",""ร"&amp;"วมตะวันออกเฉียงเหนือ!J84"")+IMPORTRANGE(""https://docs.google.com/spreadsheets/d/1iNWbYmj0agxPDl_yJgGu1eIremFPVMUuMWUKAjBzvrk/edit?usp=sharing"",""รวมกลาง!J84"")+IMPORTRANGE(""https://docs.google.com/spreadsheets/d/1uenpWDAH2bchvfvsSIjpd4bRU5D1faxJOaE34GQ"&amp;"M5-c/edit?usp=sharing"",""รวมใต้!J84"")"),16)</f>
        <v>16</v>
      </c>
      <c r="K84" s="166">
        <f t="shared" ca="1" si="65"/>
        <v>100</v>
      </c>
      <c r="L84" s="150"/>
      <c r="M84" s="150"/>
      <c r="N84" s="150"/>
      <c r="O84" s="150"/>
      <c r="P84" s="150"/>
      <c r="Q84" s="150"/>
      <c r="R84" s="150"/>
      <c r="S84" s="150"/>
      <c r="T84" s="150"/>
      <c r="U84" s="150"/>
    </row>
    <row r="85" spans="1:21" ht="18.75" x14ac:dyDescent="0.25">
      <c r="A85" s="152"/>
      <c r="B85" s="153"/>
      <c r="C85" s="153"/>
      <c r="D85" s="153"/>
      <c r="E85" s="159"/>
      <c r="F85" s="159"/>
      <c r="G85" s="157"/>
      <c r="H85" s="164" t="s">
        <v>35</v>
      </c>
      <c r="I85" s="165">
        <f ca="1">IFERROR(__xludf.DUMMYFUNCTION("IMPORTRANGE(""https://docs.google.com/spreadsheets/d/12pGRKgvn2b31Uz_fjAl3XPzZUM_F2_O-zAHL2XHEPZg/edit?usp=sharing"",""รวมเหนือ!I85"")+IMPORTRANGE(""https://docs.google.com/spreadsheets/d/1c0UfJUA6nE6esVMy0kRcX_PENtt96DMxicQpqi3tips/edit?usp=sharing"",""ร"&amp;"วมตะวันออกเฉียงเหนือ!I85"")+IMPORTRANGE(""https://docs.google.com/spreadsheets/d/1iNWbYmj0agxPDl_yJgGu1eIremFPVMUuMWUKAjBzvrk/edit?usp=sharing"",""รวมกลาง!I85"")+IMPORTRANGE(""https://docs.google.com/spreadsheets/d/1uenpWDAH2bchvfvsSIjpd4bRU5D1faxJOaE34GQ"&amp;"M5-c/edit?usp=sharing"",""รวมใต้!I85"")"),748)</f>
        <v>748</v>
      </c>
      <c r="J85" s="165">
        <f ca="1">IFERROR(__xludf.DUMMYFUNCTION("IMPORTRANGE(""https://docs.google.com/spreadsheets/d/12pGRKgvn2b31Uz_fjAl3XPzZUM_F2_O-zAHL2XHEPZg/edit?usp=sharing"",""รวมเหนือ!J85"")+IMPORTRANGE(""https://docs.google.com/spreadsheets/d/1c0UfJUA6nE6esVMy0kRcX_PENtt96DMxicQpqi3tips/edit?usp=sharing"",""ร"&amp;"วมตะวันออกเฉียงเหนือ!J85"")+IMPORTRANGE(""https://docs.google.com/spreadsheets/d/1iNWbYmj0agxPDl_yJgGu1eIremFPVMUuMWUKAjBzvrk/edit?usp=sharing"",""รวมกลาง!J85"")+IMPORTRANGE(""https://docs.google.com/spreadsheets/d/1uenpWDAH2bchvfvsSIjpd4bRU5D1faxJOaE34GQ"&amp;"M5-c/edit?usp=sharing"",""รวมใต้!J85"")"),748)</f>
        <v>748</v>
      </c>
      <c r="K85" s="166">
        <f t="shared" ca="1" si="65"/>
        <v>100</v>
      </c>
      <c r="L85" s="150"/>
      <c r="M85" s="150"/>
      <c r="N85" s="150"/>
      <c r="O85" s="150"/>
      <c r="P85" s="150"/>
      <c r="Q85" s="150"/>
      <c r="R85" s="150"/>
      <c r="S85" s="150"/>
      <c r="T85" s="150"/>
      <c r="U85" s="150"/>
    </row>
    <row r="86" spans="1:21" ht="18.75" x14ac:dyDescent="0.25">
      <c r="A86" s="152"/>
      <c r="B86" s="153"/>
      <c r="C86" s="153"/>
      <c r="D86" s="153"/>
      <c r="E86" s="163" t="s">
        <v>41</v>
      </c>
      <c r="F86" s="159"/>
      <c r="G86" s="157"/>
      <c r="H86" s="164" t="s">
        <v>34</v>
      </c>
      <c r="I86" s="165">
        <f ca="1">IFERROR(__xludf.DUMMYFUNCTION("IMPORTRANGE(""https://docs.google.com/spreadsheets/d/12pGRKgvn2b31Uz_fjAl3XPzZUM_F2_O-zAHL2XHEPZg/edit?usp=sharing"",""รวมเหนือ!I86"")+IMPORTRANGE(""https://docs.google.com/spreadsheets/d/1c0UfJUA6nE6esVMy0kRcX_PENtt96DMxicQpqi3tips/edit?usp=sharing"",""ร"&amp;"วมตะวันออกเฉียงเหนือ!I86"")+IMPORTRANGE(""https://docs.google.com/spreadsheets/d/1iNWbYmj0agxPDl_yJgGu1eIremFPVMUuMWUKAjBzvrk/edit?usp=sharing"",""รวมกลาง!I86"")+IMPORTRANGE(""https://docs.google.com/spreadsheets/d/1uenpWDAH2bchvfvsSIjpd4bRU5D1faxJOaE34GQ"&amp;"M5-c/edit?usp=sharing"",""รวมใต้!I86"")"),13)</f>
        <v>13</v>
      </c>
      <c r="J86" s="165">
        <f ca="1">IFERROR(__xludf.DUMMYFUNCTION("IMPORTRANGE(""https://docs.google.com/spreadsheets/d/12pGRKgvn2b31Uz_fjAl3XPzZUM_F2_O-zAHL2XHEPZg/edit?usp=sharing"",""รวมเหนือ!J86"")+IMPORTRANGE(""https://docs.google.com/spreadsheets/d/1c0UfJUA6nE6esVMy0kRcX_PENtt96DMxicQpqi3tips/edit?usp=sharing"",""ร"&amp;"วมตะวันออกเฉียงเหนือ!J86"")+IMPORTRANGE(""https://docs.google.com/spreadsheets/d/1iNWbYmj0agxPDl_yJgGu1eIremFPVMUuMWUKAjBzvrk/edit?usp=sharing"",""รวมกลาง!J86"")+IMPORTRANGE(""https://docs.google.com/spreadsheets/d/1uenpWDAH2bchvfvsSIjpd4bRU5D1faxJOaE34GQ"&amp;"M5-c/edit?usp=sharing"",""รวมใต้!J86"")"),13)</f>
        <v>13</v>
      </c>
      <c r="K86" s="166">
        <f t="shared" ca="1" si="65"/>
        <v>100</v>
      </c>
      <c r="L86" s="150"/>
      <c r="M86" s="150"/>
      <c r="N86" s="150"/>
      <c r="O86" s="150"/>
      <c r="P86" s="150"/>
      <c r="Q86" s="150"/>
      <c r="R86" s="150"/>
      <c r="S86" s="150"/>
      <c r="T86" s="150"/>
      <c r="U86" s="150"/>
    </row>
    <row r="87" spans="1:21" ht="18.75" x14ac:dyDescent="0.25">
      <c r="A87" s="152"/>
      <c r="B87" s="153"/>
      <c r="C87" s="153"/>
      <c r="D87" s="153"/>
      <c r="E87" s="159"/>
      <c r="F87" s="159"/>
      <c r="G87" s="157"/>
      <c r="H87" s="164" t="s">
        <v>35</v>
      </c>
      <c r="I87" s="165">
        <f ca="1">IFERROR(__xludf.DUMMYFUNCTION("IMPORTRANGE(""https://docs.google.com/spreadsheets/d/12pGRKgvn2b31Uz_fjAl3XPzZUM_F2_O-zAHL2XHEPZg/edit?usp=sharing"",""รวมเหนือ!I87"")+IMPORTRANGE(""https://docs.google.com/spreadsheets/d/1c0UfJUA6nE6esVMy0kRcX_PENtt96DMxicQpqi3tips/edit?usp=sharing"",""ร"&amp;"วมตะวันออกเฉียงเหนือ!I87"")+IMPORTRANGE(""https://docs.google.com/spreadsheets/d/1iNWbYmj0agxPDl_yJgGu1eIremFPVMUuMWUKAjBzvrk/edit?usp=sharing"",""รวมกลาง!I87"")+IMPORTRANGE(""https://docs.google.com/spreadsheets/d/1uenpWDAH2bchvfvsSIjpd4bRU5D1faxJOaE34GQ"&amp;"M5-c/edit?usp=sharing"",""รวมใต้!I87"")"),515)</f>
        <v>515</v>
      </c>
      <c r="J87" s="165">
        <f ca="1">IFERROR(__xludf.DUMMYFUNCTION("IMPORTRANGE(""https://docs.google.com/spreadsheets/d/12pGRKgvn2b31Uz_fjAl3XPzZUM_F2_O-zAHL2XHEPZg/edit?usp=sharing"",""รวมเหนือ!J87"")+IMPORTRANGE(""https://docs.google.com/spreadsheets/d/1c0UfJUA6nE6esVMy0kRcX_PENtt96DMxicQpqi3tips/edit?usp=sharing"",""ร"&amp;"วมตะวันออกเฉียงเหนือ!J87"")+IMPORTRANGE(""https://docs.google.com/spreadsheets/d/1iNWbYmj0agxPDl_yJgGu1eIremFPVMUuMWUKAjBzvrk/edit?usp=sharing"",""รวมกลาง!J87"")+IMPORTRANGE(""https://docs.google.com/spreadsheets/d/1uenpWDAH2bchvfvsSIjpd4bRU5D1faxJOaE34GQ"&amp;"M5-c/edit?usp=sharing"",""รวมใต้!J87"")"),515)</f>
        <v>515</v>
      </c>
      <c r="K87" s="166">
        <f t="shared" ca="1" si="65"/>
        <v>100</v>
      </c>
      <c r="L87" s="150"/>
      <c r="M87" s="150"/>
      <c r="N87" s="150"/>
      <c r="O87" s="150"/>
      <c r="P87" s="150"/>
      <c r="Q87" s="150"/>
      <c r="R87" s="150"/>
      <c r="S87" s="150"/>
      <c r="T87" s="150"/>
      <c r="U87" s="150"/>
    </row>
    <row r="88" spans="1:21" ht="18.75" x14ac:dyDescent="0.25">
      <c r="A88" s="152"/>
      <c r="B88" s="153"/>
      <c r="C88" s="153"/>
      <c r="D88" s="153"/>
      <c r="E88" s="163" t="s">
        <v>42</v>
      </c>
      <c r="F88" s="159"/>
      <c r="G88" s="157"/>
      <c r="H88" s="164" t="s">
        <v>34</v>
      </c>
      <c r="I88" s="165">
        <f ca="1">IFERROR(__xludf.DUMMYFUNCTION("IMPORTRANGE(""https://docs.google.com/spreadsheets/d/12pGRKgvn2b31Uz_fjAl3XPzZUM_F2_O-zAHL2XHEPZg/edit?usp=sharing"",""รวมเหนือ!I88"")+IMPORTRANGE(""https://docs.google.com/spreadsheets/d/1c0UfJUA6nE6esVMy0kRcX_PENtt96DMxicQpqi3tips/edit?usp=sharing"",""ร"&amp;"วมตะวันออกเฉียงเหนือ!I88"")+IMPORTRANGE(""https://docs.google.com/spreadsheets/d/1iNWbYmj0agxPDl_yJgGu1eIremFPVMUuMWUKAjBzvrk/edit?usp=sharing"",""รวมกลาง!I88"")+IMPORTRANGE(""https://docs.google.com/spreadsheets/d/1uenpWDAH2bchvfvsSIjpd4bRU5D1faxJOaE34GQ"&amp;"M5-c/edit?usp=sharing"",""รวมใต้!I88"")"),13)</f>
        <v>13</v>
      </c>
      <c r="J88" s="165">
        <f ca="1">IFERROR(__xludf.DUMMYFUNCTION("IMPORTRANGE(""https://docs.google.com/spreadsheets/d/12pGRKgvn2b31Uz_fjAl3XPzZUM_F2_O-zAHL2XHEPZg/edit?usp=sharing"",""รวมเหนือ!J88"")+IMPORTRANGE(""https://docs.google.com/spreadsheets/d/1c0UfJUA6nE6esVMy0kRcX_PENtt96DMxicQpqi3tips/edit?usp=sharing"",""ร"&amp;"วมตะวันออกเฉียงเหนือ!J88"")+IMPORTRANGE(""https://docs.google.com/spreadsheets/d/1iNWbYmj0agxPDl_yJgGu1eIremFPVMUuMWUKAjBzvrk/edit?usp=sharing"",""รวมกลาง!J88"")+IMPORTRANGE(""https://docs.google.com/spreadsheets/d/1uenpWDAH2bchvfvsSIjpd4bRU5D1faxJOaE34GQ"&amp;"M5-c/edit?usp=sharing"",""รวมใต้!J88"")"),13)</f>
        <v>13</v>
      </c>
      <c r="K88" s="166">
        <f t="shared" ca="1" si="65"/>
        <v>100</v>
      </c>
      <c r="L88" s="150"/>
      <c r="M88" s="150"/>
      <c r="N88" s="150"/>
      <c r="O88" s="150"/>
      <c r="P88" s="150"/>
      <c r="Q88" s="150"/>
      <c r="R88" s="150"/>
      <c r="S88" s="150"/>
      <c r="T88" s="150"/>
      <c r="U88" s="150"/>
    </row>
    <row r="89" spans="1:21" ht="18.75" x14ac:dyDescent="0.25">
      <c r="A89" s="152"/>
      <c r="B89" s="153"/>
      <c r="C89" s="153"/>
      <c r="D89" s="153"/>
      <c r="E89" s="159"/>
      <c r="F89" s="159"/>
      <c r="G89" s="157"/>
      <c r="H89" s="164" t="s">
        <v>35</v>
      </c>
      <c r="I89" s="165">
        <f ca="1">IFERROR(__xludf.DUMMYFUNCTION("IMPORTRANGE(""https://docs.google.com/spreadsheets/d/12pGRKgvn2b31Uz_fjAl3XPzZUM_F2_O-zAHL2XHEPZg/edit?usp=sharing"",""รวมเหนือ!I89"")+IMPORTRANGE(""https://docs.google.com/spreadsheets/d/1c0UfJUA6nE6esVMy0kRcX_PENtt96DMxicQpqi3tips/edit?usp=sharing"",""ร"&amp;"วมตะวันออกเฉียงเหนือ!I89"")+IMPORTRANGE(""https://docs.google.com/spreadsheets/d/1iNWbYmj0agxPDl_yJgGu1eIremFPVMUuMWUKAjBzvrk/edit?usp=sharing"",""รวมกลาง!I89"")+IMPORTRANGE(""https://docs.google.com/spreadsheets/d/1uenpWDAH2bchvfvsSIjpd4bRU5D1faxJOaE34GQ"&amp;"M5-c/edit?usp=sharing"",""รวมใต้!I89"")"),581)</f>
        <v>581</v>
      </c>
      <c r="J89" s="165">
        <f ca="1">IFERROR(__xludf.DUMMYFUNCTION("IMPORTRANGE(""https://docs.google.com/spreadsheets/d/12pGRKgvn2b31Uz_fjAl3XPzZUM_F2_O-zAHL2XHEPZg/edit?usp=sharing"",""รวมเหนือ!J89"")+IMPORTRANGE(""https://docs.google.com/spreadsheets/d/1c0UfJUA6nE6esVMy0kRcX_PENtt96DMxicQpqi3tips/edit?usp=sharing"",""ร"&amp;"วมตะวันออกเฉียงเหนือ!J89"")+IMPORTRANGE(""https://docs.google.com/spreadsheets/d/1iNWbYmj0agxPDl_yJgGu1eIremFPVMUuMWUKAjBzvrk/edit?usp=sharing"",""รวมกลาง!J89"")+IMPORTRANGE(""https://docs.google.com/spreadsheets/d/1uenpWDAH2bchvfvsSIjpd4bRU5D1faxJOaE34GQ"&amp;"M5-c/edit?usp=sharing"",""รวมใต้!J89"")"),581)</f>
        <v>581</v>
      </c>
      <c r="K89" s="166">
        <f t="shared" ca="1" si="65"/>
        <v>100</v>
      </c>
      <c r="L89" s="150"/>
      <c r="M89" s="150"/>
      <c r="N89" s="150"/>
      <c r="O89" s="150"/>
      <c r="P89" s="150"/>
      <c r="Q89" s="150"/>
      <c r="R89" s="150"/>
      <c r="S89" s="150"/>
      <c r="T89" s="150"/>
      <c r="U89" s="150"/>
    </row>
    <row r="90" spans="1:21" ht="18.75" x14ac:dyDescent="0.25">
      <c r="A90" s="152"/>
      <c r="B90" s="153"/>
      <c r="C90" s="153"/>
      <c r="D90" s="158" t="s">
        <v>43</v>
      </c>
      <c r="E90" s="159"/>
      <c r="F90" s="159"/>
      <c r="G90" s="157"/>
      <c r="H90" s="167" t="s">
        <v>34</v>
      </c>
      <c r="I90" s="165">
        <f ca="1">IFERROR(__xludf.DUMMYFUNCTION("IMPORTRANGE(""https://docs.google.com/spreadsheets/d/12pGRKgvn2b31Uz_fjAl3XPzZUM_F2_O-zAHL2XHEPZg/edit?usp=sharing"",""รวมเหนือ!I90"")+IMPORTRANGE(""https://docs.google.com/spreadsheets/d/1c0UfJUA6nE6esVMy0kRcX_PENtt96DMxicQpqi3tips/edit?usp=sharing"",""ร"&amp;"วมตะวันออกเฉียงเหนือ!I90"")+IMPORTRANGE(""https://docs.google.com/spreadsheets/d/1iNWbYmj0agxPDl_yJgGu1eIremFPVMUuMWUKAjBzvrk/edit?usp=sharing"",""รวมกลาง!I90"")+IMPORTRANGE(""https://docs.google.com/spreadsheets/d/1uenpWDAH2bchvfvsSIjpd4bRU5D1faxJOaE34GQ"&amp;"M5-c/edit?usp=sharing"",""รวมใต้!I90"")"),42)</f>
        <v>42</v>
      </c>
      <c r="J90" s="165">
        <f ca="1">IFERROR(__xludf.DUMMYFUNCTION("IMPORTRANGE(""https://docs.google.com/spreadsheets/d/12pGRKgvn2b31Uz_fjAl3XPzZUM_F2_O-zAHL2XHEPZg/edit?usp=sharing"",""รวมเหนือ!J90"")+IMPORTRANGE(""https://docs.google.com/spreadsheets/d/1c0UfJUA6nE6esVMy0kRcX_PENtt96DMxicQpqi3tips/edit?usp=sharing"",""ร"&amp;"วมตะวันออกเฉียงเหนือ!J90"")+IMPORTRANGE(""https://docs.google.com/spreadsheets/d/1iNWbYmj0agxPDl_yJgGu1eIremFPVMUuMWUKAjBzvrk/edit?usp=sharing"",""รวมกลาง!J90"")+IMPORTRANGE(""https://docs.google.com/spreadsheets/d/1uenpWDAH2bchvfvsSIjpd4bRU5D1faxJOaE34GQ"&amp;"M5-c/edit?usp=sharing"",""รวมใต้!J90"")"),42)</f>
        <v>42</v>
      </c>
      <c r="K90" s="166">
        <f t="shared" ca="1" si="65"/>
        <v>100</v>
      </c>
      <c r="L90" s="150"/>
      <c r="M90" s="150"/>
      <c r="N90" s="150"/>
      <c r="O90" s="150"/>
      <c r="P90" s="150"/>
      <c r="Q90" s="150"/>
      <c r="R90" s="150"/>
      <c r="S90" s="150"/>
      <c r="T90" s="150"/>
      <c r="U90" s="150"/>
    </row>
    <row r="91" spans="1:21" ht="19.5" x14ac:dyDescent="0.3">
      <c r="A91" s="131" t="s">
        <v>44</v>
      </c>
      <c r="B91" s="132"/>
      <c r="C91" s="133"/>
      <c r="D91" s="132"/>
      <c r="E91" s="132"/>
      <c r="F91" s="132"/>
      <c r="G91" s="134"/>
      <c r="H91" s="168"/>
      <c r="I91" s="135"/>
      <c r="J91" s="135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</row>
    <row r="92" spans="1:21" ht="19.5" x14ac:dyDescent="0.3">
      <c r="A92" s="137"/>
      <c r="B92" s="138" t="s">
        <v>45</v>
      </c>
      <c r="C92" s="24"/>
      <c r="D92" s="139"/>
      <c r="E92" s="24"/>
      <c r="F92" s="24"/>
      <c r="G92" s="27"/>
      <c r="H92" s="169" t="s">
        <v>46</v>
      </c>
      <c r="I92" s="141">
        <f t="shared" ref="I92:J92" ca="1" si="67">I108</f>
        <v>1500</v>
      </c>
      <c r="J92" s="141">
        <f t="shared" ca="1" si="67"/>
        <v>1500</v>
      </c>
      <c r="K92" s="31">
        <f t="shared" ref="K92:K93" ca="1" si="68">IF(I92&gt;0,J92*100/I92,0)</f>
        <v>100</v>
      </c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9.5" x14ac:dyDescent="0.3">
      <c r="A93" s="137"/>
      <c r="B93" s="24"/>
      <c r="C93" s="24"/>
      <c r="D93" s="139"/>
      <c r="E93" s="24"/>
      <c r="F93" s="24"/>
      <c r="G93" s="27"/>
      <c r="H93" s="169" t="s">
        <v>35</v>
      </c>
      <c r="I93" s="141">
        <f t="shared" ref="I93:J93" ca="1" si="69">I109</f>
        <v>500</v>
      </c>
      <c r="J93" s="141">
        <f t="shared" ca="1" si="69"/>
        <v>500</v>
      </c>
      <c r="K93" s="31">
        <f t="shared" ca="1" si="68"/>
        <v>100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19.5" x14ac:dyDescent="0.3">
      <c r="A94" s="142"/>
      <c r="B94" s="36"/>
      <c r="C94" s="143" t="s">
        <v>18</v>
      </c>
      <c r="D94" s="144" t="s">
        <v>19</v>
      </c>
      <c r="E94" s="36"/>
      <c r="F94" s="36"/>
      <c r="G94" s="38"/>
      <c r="H94" s="145" t="s">
        <v>14</v>
      </c>
      <c r="I94" s="40"/>
      <c r="J94" s="40"/>
      <c r="K94" s="41"/>
      <c r="L94" s="146">
        <f t="shared" ref="L94:N94" ca="1" si="70">L95+L96</f>
        <v>1756000</v>
      </c>
      <c r="M94" s="146">
        <f t="shared" ca="1" si="70"/>
        <v>1756000</v>
      </c>
      <c r="N94" s="146">
        <f t="shared" ca="1" si="70"/>
        <v>1752552.31</v>
      </c>
      <c r="O94" s="146">
        <f t="shared" ref="O94:O102" ca="1" si="71">IF(L94&gt;0,N94*100/L94,0)</f>
        <v>99.803662300683371</v>
      </c>
      <c r="P94" s="146">
        <f t="shared" ref="P94:P102" ca="1" si="72">IF(M94&gt;0,N94*100/M94,0)</f>
        <v>99.803662300683371</v>
      </c>
      <c r="Q94" s="146">
        <f t="shared" ref="Q94:S94" ca="1" si="73">Q95+Q96</f>
        <v>4990240</v>
      </c>
      <c r="R94" s="146">
        <f t="shared" ca="1" si="73"/>
        <v>4990240</v>
      </c>
      <c r="S94" s="146">
        <f t="shared" ca="1" si="73"/>
        <v>2771753.6100000003</v>
      </c>
      <c r="T94" s="146">
        <f t="shared" ref="T94:T102" ca="1" si="74">IF(Q94&gt;0,S94*100/Q94,0)</f>
        <v>55.543493098528337</v>
      </c>
      <c r="U94" s="146">
        <f t="shared" ref="U94:U102" ca="1" si="75">IF(R94&gt;0,S94*100/R94,0)</f>
        <v>55.543493098528337</v>
      </c>
    </row>
    <row r="95" spans="1:21" ht="18.75" x14ac:dyDescent="0.25">
      <c r="A95" s="142"/>
      <c r="B95" s="36"/>
      <c r="C95" s="36"/>
      <c r="D95" s="36"/>
      <c r="E95" s="43" t="s">
        <v>20</v>
      </c>
      <c r="F95" s="36"/>
      <c r="G95" s="38"/>
      <c r="H95" s="147" t="s">
        <v>14</v>
      </c>
      <c r="I95" s="40"/>
      <c r="J95" s="40"/>
      <c r="K95" s="41"/>
      <c r="L95" s="42">
        <f t="shared" ref="L95:N95" ca="1" si="76">L98+L101</f>
        <v>571200</v>
      </c>
      <c r="M95" s="42">
        <f t="shared" ca="1" si="76"/>
        <v>571240</v>
      </c>
      <c r="N95" s="42">
        <f t="shared" ca="1" si="76"/>
        <v>567792.81000000006</v>
      </c>
      <c r="O95" s="42">
        <f t="shared" ca="1" si="71"/>
        <v>99.403503151260523</v>
      </c>
      <c r="P95" s="42">
        <f t="shared" ca="1" si="72"/>
        <v>99.396542609061001</v>
      </c>
      <c r="Q95" s="42">
        <f ca="1">IFERROR(__xludf.DUMMYFUNCTION("IMPORTRANGE(""https://docs.google.com/spreadsheets/d/1ItG2mGa2ceCfYo0BwxsXqNm01IGEUdYcSSLTEv9YCik/edit?usp=sharing"",""เบิกจ่ายกองทุน!AJ11"")"),1290900)</f>
        <v>1290900</v>
      </c>
      <c r="R95" s="42">
        <f ca="1">IFERROR(__xludf.DUMMYFUNCTION("IMPORTRANGE(""https://docs.google.com/spreadsheets/d/1ItG2mGa2ceCfYo0BwxsXqNm01IGEUdYcSSLTEv9YCik/edit?usp=sharing"",""เบิกจ่ายกองทุน!AK11"")"),1290900)</f>
        <v>1290900</v>
      </c>
      <c r="S95" s="42">
        <f ca="1">IFERROR(__xludf.DUMMYFUNCTION("IMPORTRANGE(""https://docs.google.com/spreadsheets/d/1ItG2mGa2ceCfYo0BwxsXqNm01IGEUdYcSSLTEv9YCik/edit?usp=sharing"",""เบิกจ่ายกองทุน!AL11"")"),188915.66)</f>
        <v>188915.66</v>
      </c>
      <c r="T95" s="42">
        <f t="shared" ca="1" si="74"/>
        <v>14.634414749399644</v>
      </c>
      <c r="U95" s="42">
        <f t="shared" ca="1" si="75"/>
        <v>14.634414749399644</v>
      </c>
    </row>
    <row r="96" spans="1:21" ht="18.75" x14ac:dyDescent="0.25">
      <c r="A96" s="142"/>
      <c r="B96" s="36"/>
      <c r="C96" s="36"/>
      <c r="D96" s="36"/>
      <c r="E96" s="43" t="s">
        <v>21</v>
      </c>
      <c r="F96" s="36"/>
      <c r="G96" s="38"/>
      <c r="H96" s="147" t="s">
        <v>14</v>
      </c>
      <c r="I96" s="40"/>
      <c r="J96" s="40"/>
      <c r="K96" s="41"/>
      <c r="L96" s="42">
        <f t="shared" ref="L96:N96" ca="1" si="77">L99+L102</f>
        <v>1184800</v>
      </c>
      <c r="M96" s="42">
        <f t="shared" ca="1" si="77"/>
        <v>1184760</v>
      </c>
      <c r="N96" s="42">
        <f t="shared" ca="1" si="77"/>
        <v>1184759.5</v>
      </c>
      <c r="O96" s="42">
        <f t="shared" ca="1" si="71"/>
        <v>99.996581701552998</v>
      </c>
      <c r="P96" s="42">
        <f t="shared" ca="1" si="72"/>
        <v>99.999957797359798</v>
      </c>
      <c r="Q96" s="42">
        <f ca="1">IFERROR(__xludf.DUMMYFUNCTION("IMPORTRANGE(""https://docs.google.com/spreadsheets/d/12pGRKgvn2b31Uz_fjAl3XPzZUM_F2_O-zAHL2XHEPZg/edit?usp=sharing"",""รวมเหนือ!Q99"")+IMPORTRANGE(""https://docs.google.com/spreadsheets/d/1c0UfJUA6nE6esVMy0kRcX_PENtt96DMxicQpqi3tips/edit?usp=sharing"",""ร"&amp;"วมตะวันออกเฉียงเหนือ!Q99"")+IMPORTRANGE(""https://docs.google.com/spreadsheets/d/1iNWbYmj0agxPDl_yJgGu1eIremFPVMUuMWUKAjBzvrk/edit?usp=sharing"",""รวมกลาง!Q99"")+IMPORTRANGE(""https://docs.google.com/spreadsheets/d/1uenpWDAH2bchvfvsSIjpd4bRU5D1faxJOaE34GQ"&amp;"M5-c/edit?usp=sharing"",""รวมใต้!Q99"")"),3699340)</f>
        <v>3699340</v>
      </c>
      <c r="R96" s="42">
        <f ca="1">IFERROR(__xludf.DUMMYFUNCTION("IMPORTRANGE(""https://docs.google.com/spreadsheets/d/12pGRKgvn2b31Uz_fjAl3XPzZUM_F2_O-zAHL2XHEPZg/edit?usp=sharing"",""รวมเหนือ!R99"")+IMPORTRANGE(""https://docs.google.com/spreadsheets/d/1c0UfJUA6nE6esVMy0kRcX_PENtt96DMxicQpqi3tips/edit?usp=sharing"",""ร"&amp;"วมตะวันออกเฉียงเหนือ!R99"")+IMPORTRANGE(""https://docs.google.com/spreadsheets/d/1iNWbYmj0agxPDl_yJgGu1eIremFPVMUuMWUKAjBzvrk/edit?usp=sharing"",""รวมกลาง!R99"")+IMPORTRANGE(""https://docs.google.com/spreadsheets/d/1uenpWDAH2bchvfvsSIjpd4bRU5D1faxJOaE34GQ"&amp;"M5-c/edit?usp=sharing"",""รวมใต้!R99"")"),3699340)</f>
        <v>3699340</v>
      </c>
      <c r="S96" s="42">
        <f ca="1">IFERROR(__xludf.DUMMYFUNCTION("IMPORTRANGE(""https://docs.google.com/spreadsheets/d/12pGRKgvn2b31Uz_fjAl3XPzZUM_F2_O-zAHL2XHEPZg/edit?usp=sharing"",""รวมเหนือ!S99"")+IMPORTRANGE(""https://docs.google.com/spreadsheets/d/1c0UfJUA6nE6esVMy0kRcX_PENtt96DMxicQpqi3tips/edit?usp=sharing"",""ร"&amp;"วมตะวันออกเฉียงเหนือ!S99"")+IMPORTRANGE(""https://docs.google.com/spreadsheets/d/1iNWbYmj0agxPDl_yJgGu1eIremFPVMUuMWUKAjBzvrk/edit?usp=sharing"",""รวมกลาง!S99"")+IMPORTRANGE(""https://docs.google.com/spreadsheets/d/1uenpWDAH2bchvfvsSIjpd4bRU5D1faxJOaE34GQ"&amp;"M5-c/edit?usp=sharing"",""รวมใต้!S99"")"),2582837.95)</f>
        <v>2582837.9500000002</v>
      </c>
      <c r="T96" s="42">
        <f t="shared" ca="1" si="74"/>
        <v>69.818885260614067</v>
      </c>
      <c r="U96" s="42">
        <f t="shared" ca="1" si="75"/>
        <v>69.818885260614067</v>
      </c>
    </row>
    <row r="97" spans="1:21" ht="18.75" x14ac:dyDescent="0.25">
      <c r="A97" s="142"/>
      <c r="B97" s="170"/>
      <c r="C97" s="36"/>
      <c r="D97" s="37" t="s">
        <v>22</v>
      </c>
      <c r="E97" s="36"/>
      <c r="F97" s="36"/>
      <c r="G97" s="38"/>
      <c r="H97" s="148" t="s">
        <v>14</v>
      </c>
      <c r="I97" s="149"/>
      <c r="J97" s="149"/>
      <c r="K97" s="150"/>
      <c r="L97" s="42">
        <f t="shared" ref="L97:N97" ca="1" si="78">L98+L99</f>
        <v>1756000</v>
      </c>
      <c r="M97" s="42">
        <f t="shared" ca="1" si="78"/>
        <v>1756000</v>
      </c>
      <c r="N97" s="42">
        <f t="shared" ca="1" si="78"/>
        <v>1752552.31</v>
      </c>
      <c r="O97" s="42">
        <f t="shared" ca="1" si="71"/>
        <v>99.803662300683371</v>
      </c>
      <c r="P97" s="42">
        <f t="shared" ca="1" si="72"/>
        <v>99.803662300683371</v>
      </c>
      <c r="Q97" s="42">
        <f t="shared" ref="Q97:S97" si="79">Q98+Q99</f>
        <v>0</v>
      </c>
      <c r="R97" s="42">
        <f t="shared" si="79"/>
        <v>0</v>
      </c>
      <c r="S97" s="42">
        <f t="shared" si="79"/>
        <v>0</v>
      </c>
      <c r="T97" s="42">
        <f t="shared" si="74"/>
        <v>0</v>
      </c>
      <c r="U97" s="42">
        <f t="shared" si="75"/>
        <v>0</v>
      </c>
    </row>
    <row r="98" spans="1:21" ht="18.75" x14ac:dyDescent="0.25">
      <c r="A98" s="142"/>
      <c r="B98" s="170"/>
      <c r="C98" s="170"/>
      <c r="D98" s="36"/>
      <c r="E98" s="43" t="s">
        <v>36</v>
      </c>
      <c r="F98" s="36"/>
      <c r="G98" s="38"/>
      <c r="H98" s="148" t="s">
        <v>14</v>
      </c>
      <c r="I98" s="149"/>
      <c r="J98" s="149"/>
      <c r="K98" s="150"/>
      <c r="L98" s="42">
        <f ca="1">IFERROR(__xludf.DUMMYFUNCTION("IMPORTRANGE(""https://docs.google.com/spreadsheets/d/1-uDff_7J0KD5mKrp0Vvzr7lt3OU09vwQwhkpOPPYv2Y/edit?usp=sharing"",""งบพรบ!AW9"")"),571200)</f>
        <v>571200</v>
      </c>
      <c r="M98" s="42">
        <f ca="1">IFERROR(__xludf.DUMMYFUNCTION("IMPORTRANGE(""https://docs.google.com/spreadsheets/d/1-uDff_7J0KD5mKrp0Vvzr7lt3OU09vwQwhkpOPPYv2Y/edit?usp=sharing"",""งบพรบ!BB9"")"),571240)</f>
        <v>571240</v>
      </c>
      <c r="N98" s="42">
        <f ca="1">IFERROR(__xludf.DUMMYFUNCTION("IMPORTRANGE(""https://docs.google.com/spreadsheets/d/1-uDff_7J0KD5mKrp0Vvzr7lt3OU09vwQwhkpOPPYv2Y/edit?usp=sharing"",""งบพรบ!BD9"")"),567792.81)</f>
        <v>567792.81000000006</v>
      </c>
      <c r="O98" s="42">
        <f t="shared" ca="1" si="71"/>
        <v>99.403503151260523</v>
      </c>
      <c r="P98" s="42">
        <f t="shared" ca="1" si="72"/>
        <v>99.396542609061001</v>
      </c>
      <c r="Q98" s="42">
        <v>0</v>
      </c>
      <c r="R98" s="42">
        <v>0</v>
      </c>
      <c r="S98" s="42">
        <v>0</v>
      </c>
      <c r="T98" s="42">
        <f t="shared" si="74"/>
        <v>0</v>
      </c>
      <c r="U98" s="42">
        <f t="shared" si="75"/>
        <v>0</v>
      </c>
    </row>
    <row r="99" spans="1:21" ht="18.75" x14ac:dyDescent="0.25">
      <c r="A99" s="142"/>
      <c r="B99" s="170"/>
      <c r="C99" s="170"/>
      <c r="D99" s="36"/>
      <c r="E99" s="43" t="s">
        <v>37</v>
      </c>
      <c r="F99" s="36"/>
      <c r="G99" s="38"/>
      <c r="H99" s="148" t="s">
        <v>14</v>
      </c>
      <c r="I99" s="149"/>
      <c r="J99" s="149"/>
      <c r="K99" s="150"/>
      <c r="L99" s="42">
        <f ca="1">IFERROR(__xludf.DUMMYFUNCTION("IMPORTRANGE(""https://docs.google.com/spreadsheets/d/12pGRKgvn2b31Uz_fjAl3XPzZUM_F2_O-zAHL2XHEPZg/edit?usp=sharing"",""รวมเหนือ!L99"")+IMPORTRANGE(""https://docs.google.com/spreadsheets/d/1c0UfJUA6nE6esVMy0kRcX_PENtt96DMxicQpqi3tips/edit?usp=sharing"",""ร"&amp;"วมตะวันออกเฉียงเหนือ!L99"")+IMPORTRANGE(""https://docs.google.com/spreadsheets/d/1iNWbYmj0agxPDl_yJgGu1eIremFPVMUuMWUKAjBzvrk/edit?usp=sharing"",""รวมกลาง!L99"")+IMPORTRANGE(""https://docs.google.com/spreadsheets/d/1uenpWDAH2bchvfvsSIjpd4bRU5D1faxJOaE34GQ"&amp;"M5-c/edit?usp=sharing"",""รวมใต้!L99"")"),1184800)</f>
        <v>1184800</v>
      </c>
      <c r="M99" s="42">
        <f ca="1">IFERROR(__xludf.DUMMYFUNCTION("IMPORTRANGE(""https://docs.google.com/spreadsheets/d/12pGRKgvn2b31Uz_fjAl3XPzZUM_F2_O-zAHL2XHEPZg/edit?usp=sharing"",""รวมเหนือ!M99"")+IMPORTRANGE(""https://docs.google.com/spreadsheets/d/1c0UfJUA6nE6esVMy0kRcX_PENtt96DMxicQpqi3tips/edit?usp=sharing"",""ร"&amp;"วมตะวันออกเฉียงเหนือ!M99"")+IMPORTRANGE(""https://docs.google.com/spreadsheets/d/1iNWbYmj0agxPDl_yJgGu1eIremFPVMUuMWUKAjBzvrk/edit?usp=sharing"",""รวมกลาง!M99"")+IMPORTRANGE(""https://docs.google.com/spreadsheets/d/1uenpWDAH2bchvfvsSIjpd4bRU5D1faxJOaE34GQ"&amp;"M5-c/edit?usp=sharing"",""รวมใต้!M99"")"),1184760)</f>
        <v>1184760</v>
      </c>
      <c r="N99" s="42">
        <f ca="1">IFERROR(__xludf.DUMMYFUNCTION("IMPORTRANGE(""https://docs.google.com/spreadsheets/d/12pGRKgvn2b31Uz_fjAl3XPzZUM_F2_O-zAHL2XHEPZg/edit?usp=sharing"",""รวมเหนือ!N99"")+IMPORTRANGE(""https://docs.google.com/spreadsheets/d/1c0UfJUA6nE6esVMy0kRcX_PENtt96DMxicQpqi3tips/edit?usp=sharing"",""ร"&amp;"วมตะวันออกเฉียงเหนือ!N99"")+IMPORTRANGE(""https://docs.google.com/spreadsheets/d/1iNWbYmj0agxPDl_yJgGu1eIremFPVMUuMWUKAjBzvrk/edit?usp=sharing"",""รวมกลาง!N99"")+IMPORTRANGE(""https://docs.google.com/spreadsheets/d/1uenpWDAH2bchvfvsSIjpd4bRU5D1faxJOaE34GQ"&amp;"M5-c/edit?usp=sharing"",""รวมใต้!N99"")"),1184759.5)</f>
        <v>1184759.5</v>
      </c>
      <c r="O99" s="42">
        <f t="shared" ca="1" si="71"/>
        <v>99.996581701552998</v>
      </c>
      <c r="P99" s="42">
        <f t="shared" ca="1" si="72"/>
        <v>99.999957797359798</v>
      </c>
      <c r="Q99" s="42">
        <v>0</v>
      </c>
      <c r="R99" s="42">
        <v>0</v>
      </c>
      <c r="S99" s="42">
        <v>0</v>
      </c>
      <c r="T99" s="42">
        <f t="shared" si="74"/>
        <v>0</v>
      </c>
      <c r="U99" s="42">
        <f t="shared" si="75"/>
        <v>0</v>
      </c>
    </row>
    <row r="100" spans="1:21" ht="18.75" x14ac:dyDescent="0.25">
      <c r="A100" s="142"/>
      <c r="B100" s="170"/>
      <c r="C100" s="170"/>
      <c r="D100" s="171" t="s">
        <v>23</v>
      </c>
      <c r="E100" s="36"/>
      <c r="F100" s="36"/>
      <c r="G100" s="38"/>
      <c r="H100" s="151" t="s">
        <v>14</v>
      </c>
      <c r="I100" s="149"/>
      <c r="J100" s="149"/>
      <c r="K100" s="150"/>
      <c r="L100" s="42">
        <f t="shared" ref="L100:N100" ca="1" si="80">L101+L102</f>
        <v>0</v>
      </c>
      <c r="M100" s="42">
        <f t="shared" ca="1" si="80"/>
        <v>0</v>
      </c>
      <c r="N100" s="42">
        <f t="shared" ca="1" si="80"/>
        <v>0</v>
      </c>
      <c r="O100" s="42">
        <f t="shared" ca="1" si="71"/>
        <v>0</v>
      </c>
      <c r="P100" s="42">
        <f t="shared" ca="1" si="72"/>
        <v>0</v>
      </c>
      <c r="Q100" s="42">
        <f t="shared" ref="Q100:S100" ca="1" si="81">Q101+Q102</f>
        <v>0</v>
      </c>
      <c r="R100" s="42">
        <f t="shared" ca="1" si="81"/>
        <v>0</v>
      </c>
      <c r="S100" s="42">
        <f t="shared" ca="1" si="81"/>
        <v>0</v>
      </c>
      <c r="T100" s="42">
        <f t="shared" ca="1" si="74"/>
        <v>0</v>
      </c>
      <c r="U100" s="42">
        <f t="shared" ca="1" si="75"/>
        <v>0</v>
      </c>
    </row>
    <row r="101" spans="1:21" ht="18.75" x14ac:dyDescent="0.25">
      <c r="A101" s="142"/>
      <c r="B101" s="170"/>
      <c r="C101" s="170"/>
      <c r="D101" s="36"/>
      <c r="E101" s="43" t="s">
        <v>20</v>
      </c>
      <c r="F101" s="36"/>
      <c r="G101" s="38"/>
      <c r="H101" s="148" t="s">
        <v>14</v>
      </c>
      <c r="I101" s="149"/>
      <c r="J101" s="149"/>
      <c r="K101" s="150"/>
      <c r="L101" s="42">
        <f ca="1">IFERROR(__xludf.DUMMYFUNCTION("IMPORTRANGE(""https://docs.google.com/spreadsheets/d/1-uDff_7J0KD5mKrp0Vvzr7lt3OU09vwQwhkpOPPYv2Y/edit?usp=sharing"",""งบพรบ!AZ9"")"),0)</f>
        <v>0</v>
      </c>
      <c r="M101" s="42">
        <f ca="1">IFERROR(__xludf.DUMMYFUNCTION("IMPORTRANGE(""https://docs.google.com/spreadsheets/d/1-uDff_7J0KD5mKrp0Vvzr7lt3OU09vwQwhkpOPPYv2Y/edit?usp=sharing"",""งบพรบ!BC9"")"),0)</f>
        <v>0</v>
      </c>
      <c r="N101" s="42">
        <f ca="1">IFERROR(__xludf.DUMMYFUNCTION("IMPORTRANGE(""https://docs.google.com/spreadsheets/d/1-uDff_7J0KD5mKrp0Vvzr7lt3OU09vwQwhkpOPPYv2Y/edit?usp=sharing"",""งบพรบ!BE9"")"),0)</f>
        <v>0</v>
      </c>
      <c r="O101" s="42">
        <f t="shared" ca="1" si="71"/>
        <v>0</v>
      </c>
      <c r="P101" s="42">
        <f t="shared" ca="1" si="72"/>
        <v>0</v>
      </c>
      <c r="Q101" s="42">
        <v>0</v>
      </c>
      <c r="R101" s="42">
        <v>0</v>
      </c>
      <c r="S101" s="42">
        <v>0</v>
      </c>
      <c r="T101" s="42">
        <f t="shared" si="74"/>
        <v>0</v>
      </c>
      <c r="U101" s="42">
        <f t="shared" si="75"/>
        <v>0</v>
      </c>
    </row>
    <row r="102" spans="1:21" ht="18.75" x14ac:dyDescent="0.25">
      <c r="A102" s="142"/>
      <c r="B102" s="170"/>
      <c r="C102" s="170"/>
      <c r="D102" s="36"/>
      <c r="E102" s="43" t="s">
        <v>21</v>
      </c>
      <c r="F102" s="36"/>
      <c r="G102" s="38"/>
      <c r="H102" s="151" t="s">
        <v>14</v>
      </c>
      <c r="I102" s="149"/>
      <c r="J102" s="149"/>
      <c r="K102" s="150"/>
      <c r="L102" s="42">
        <f ca="1">IFERROR(__xludf.DUMMYFUNCTION("IMPORTRANGE(""https://docs.google.com/spreadsheets/d/12pGRKgvn2b31Uz_fjAl3XPzZUM_F2_O-zAHL2XHEPZg/edit?usp=sharing"",""รวมเหนือ!L102"")+IMPORTRANGE(""https://docs.google.com/spreadsheets/d/1c0UfJUA6nE6esVMy0kRcX_PENtt96DMxicQpqi3tips/edit?usp=sharing"","""&amp;"รวมตะวันออกเฉียงเหนือ!L102"")+IMPORTRANGE(""https://docs.google.com/spreadsheets/d/1iNWbYmj0agxPDl_yJgGu1eIremFPVMUuMWUKAjBzvrk/edit?usp=sharing"",""รวมกลาง!L102"")+IMPORTRANGE(""https://docs.google.com/spreadsheets/d/1uenpWDAH2bchvfvsSIjpd4bRU5D1faxJOaE3"&amp;"4GQM5-c/edit?usp=sharing"",""รวมใต้!L102"")"),0)</f>
        <v>0</v>
      </c>
      <c r="M102" s="42">
        <f ca="1">IFERROR(__xludf.DUMMYFUNCTION("IMPORTRANGE(""https://docs.google.com/spreadsheets/d/12pGRKgvn2b31Uz_fjAl3XPzZUM_F2_O-zAHL2XHEPZg/edit?usp=sharing"",""รวมเหนือ!M102"")+IMPORTRANGE(""https://docs.google.com/spreadsheets/d/1c0UfJUA6nE6esVMy0kRcX_PENtt96DMxicQpqi3tips/edit?usp=sharing"","""&amp;"รวมตะวันออกเฉียงเหนือ!M102"")+IMPORTRANGE(""https://docs.google.com/spreadsheets/d/1iNWbYmj0agxPDl_yJgGu1eIremFPVMUuMWUKAjBzvrk/edit?usp=sharing"",""รวมกลาง!M102"")+IMPORTRANGE(""https://docs.google.com/spreadsheets/d/1uenpWDAH2bchvfvsSIjpd4bRU5D1faxJOaE3"&amp;"4GQM5-c/edit?usp=sharing"",""รวมใต้!M102"")"),0)</f>
        <v>0</v>
      </c>
      <c r="N102" s="42">
        <f ca="1">IFERROR(__xludf.DUMMYFUNCTION("IMPORTRANGE(""https://docs.google.com/spreadsheets/d/12pGRKgvn2b31Uz_fjAl3XPzZUM_F2_O-zAHL2XHEPZg/edit?usp=sharing"",""รวมเหนือ!N102"")+IMPORTRANGE(""https://docs.google.com/spreadsheets/d/1c0UfJUA6nE6esVMy0kRcX_PENtt96DMxicQpqi3tips/edit?usp=sharing"","""&amp;"รวมตะวันออกเฉียงเหนือ!N102"")+IMPORTRANGE(""https://docs.google.com/spreadsheets/d/1iNWbYmj0agxPDl_yJgGu1eIremFPVMUuMWUKAjBzvrk/edit?usp=sharing"",""รวมกลาง!N102"")+IMPORTRANGE(""https://docs.google.com/spreadsheets/d/1uenpWDAH2bchvfvsSIjpd4bRU5D1faxJOaE3"&amp;"4GQM5-c/edit?usp=sharing"",""รวมใต้!N102"")"),0)</f>
        <v>0</v>
      </c>
      <c r="O102" s="42">
        <f t="shared" ca="1" si="71"/>
        <v>0</v>
      </c>
      <c r="P102" s="42">
        <f t="shared" ca="1" si="72"/>
        <v>0</v>
      </c>
      <c r="Q102" s="42">
        <f ca="1">IFERROR(__xludf.DUMMYFUNCTION("IMPORTRANGE(""https://docs.google.com/spreadsheets/d/12pGRKgvn2b31Uz_fjAl3XPzZUM_F2_O-zAHL2XHEPZg/edit?usp=sharing"",""รวมเหนือ!Q102"")+IMPORTRANGE(""https://docs.google.com/spreadsheets/d/1c0UfJUA6nE6esVMy0kRcX_PENtt96DMxicQpqi3tips/edit?usp=sharing"","""&amp;"รวมตะวันออกเฉียงเหนือ!Q102"")+IMPORTRANGE(""https://docs.google.com/spreadsheets/d/1iNWbYmj0agxPDl_yJgGu1eIremFPVMUuMWUKAjBzvrk/edit?usp=sharing"",""รวมกลาง!Q102"")+IMPORTRANGE(""https://docs.google.com/spreadsheets/d/1uenpWDAH2bchvfvsSIjpd4bRU5D1faxJOaE3"&amp;"4GQM5-c/edit?usp=sharing"",""รวมใต้!Q102"")"),0)</f>
        <v>0</v>
      </c>
      <c r="R102" s="42">
        <f ca="1">IFERROR(__xludf.DUMMYFUNCTION("IMPORTRANGE(""https://docs.google.com/spreadsheets/d/12pGRKgvn2b31Uz_fjAl3XPzZUM_F2_O-zAHL2XHEPZg/edit?usp=sharing"",""รวมเหนือ!R102"")+IMPORTRANGE(""https://docs.google.com/spreadsheets/d/1c0UfJUA6nE6esVMy0kRcX_PENtt96DMxicQpqi3tips/edit?usp=sharing"","""&amp;"รวมตะวันออกเฉียงเหนือ!R102"")+IMPORTRANGE(""https://docs.google.com/spreadsheets/d/1iNWbYmj0agxPDl_yJgGu1eIremFPVMUuMWUKAjBzvrk/edit?usp=sharing"",""รวมกลาง!R102"")+IMPORTRANGE(""https://docs.google.com/spreadsheets/d/1uenpWDAH2bchvfvsSIjpd4bRU5D1faxJOaE3"&amp;"4GQM5-c/edit?usp=sharing"",""รวมใต้!R102"")"),0)</f>
        <v>0</v>
      </c>
      <c r="S102" s="42">
        <f ca="1">IFERROR(__xludf.DUMMYFUNCTION("IMPORTRANGE(""https://docs.google.com/spreadsheets/d/12pGRKgvn2b31Uz_fjAl3XPzZUM_F2_O-zAHL2XHEPZg/edit?usp=sharing"",""รวมเหนือ!S102"")+IMPORTRANGE(""https://docs.google.com/spreadsheets/d/1c0UfJUA6nE6esVMy0kRcX_PENtt96DMxicQpqi3tips/edit?usp=sharing"","""&amp;"รวมตะวันออกเฉียงเหนือ!S102"")+IMPORTRANGE(""https://docs.google.com/spreadsheets/d/1iNWbYmj0agxPDl_yJgGu1eIremFPVMUuMWUKAjBzvrk/edit?usp=sharing"",""รวมกลาง!S102"")+IMPORTRANGE(""https://docs.google.com/spreadsheets/d/1uenpWDAH2bchvfvsSIjpd4bRU5D1faxJOaE3"&amp;"4GQM5-c/edit?usp=sharing"",""รวมใต้!S102"")"),0)</f>
        <v>0</v>
      </c>
      <c r="T102" s="42">
        <f t="shared" ca="1" si="74"/>
        <v>0</v>
      </c>
      <c r="U102" s="42">
        <f t="shared" ca="1" si="75"/>
        <v>0</v>
      </c>
    </row>
    <row r="103" spans="1:21" ht="19.5" x14ac:dyDescent="0.3">
      <c r="A103" s="152"/>
      <c r="B103" s="153"/>
      <c r="C103" s="143" t="s">
        <v>18</v>
      </c>
      <c r="D103" s="154" t="s">
        <v>38</v>
      </c>
      <c r="E103" s="155"/>
      <c r="F103" s="155"/>
      <c r="G103" s="156"/>
      <c r="H103" s="157"/>
      <c r="I103" s="149"/>
      <c r="J103" s="40"/>
      <c r="K103" s="41"/>
      <c r="L103" s="41"/>
      <c r="M103" s="41"/>
      <c r="N103" s="41"/>
      <c r="O103" s="150"/>
      <c r="P103" s="150"/>
      <c r="Q103" s="41"/>
      <c r="R103" s="41"/>
      <c r="S103" s="41"/>
      <c r="T103" s="150"/>
      <c r="U103" s="150"/>
    </row>
    <row r="104" spans="1:21" ht="12.75" hidden="1" x14ac:dyDescent="0.2">
      <c r="A104" s="172"/>
      <c r="B104" s="173"/>
      <c r="C104" s="173"/>
      <c r="D104" s="59"/>
      <c r="E104" s="59"/>
      <c r="F104" s="59"/>
      <c r="G104" s="60"/>
      <c r="H104" s="60"/>
      <c r="I104" s="61"/>
      <c r="J104" s="61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1:21" ht="12.75" hidden="1" x14ac:dyDescent="0.2">
      <c r="A105" s="172"/>
      <c r="B105" s="173"/>
      <c r="C105" s="173"/>
      <c r="D105" s="59"/>
      <c r="E105" s="59"/>
      <c r="F105" s="59"/>
      <c r="G105" s="60"/>
      <c r="H105" s="60"/>
      <c r="I105" s="61"/>
      <c r="J105" s="61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1" ht="12.75" hidden="1" x14ac:dyDescent="0.2">
      <c r="A106" s="172"/>
      <c r="B106" s="173"/>
      <c r="C106" s="173"/>
      <c r="D106" s="173"/>
      <c r="E106" s="59"/>
      <c r="F106" s="59"/>
      <c r="G106" s="60"/>
      <c r="H106" s="60"/>
      <c r="I106" s="61"/>
      <c r="J106" s="61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1:21" ht="19.5" hidden="1" x14ac:dyDescent="0.3">
      <c r="A107" s="152"/>
      <c r="B107" s="153"/>
      <c r="C107" s="153"/>
      <c r="D107" s="174" t="s">
        <v>47</v>
      </c>
      <c r="E107" s="175"/>
      <c r="F107" s="159"/>
      <c r="G107" s="157"/>
      <c r="H107" s="38"/>
      <c r="I107" s="40"/>
      <c r="J107" s="40"/>
      <c r="K107" s="41"/>
      <c r="L107" s="41"/>
      <c r="M107" s="41"/>
      <c r="N107" s="41"/>
      <c r="O107" s="150"/>
      <c r="P107" s="150"/>
      <c r="Q107" s="41"/>
      <c r="R107" s="41"/>
      <c r="S107" s="41"/>
      <c r="T107" s="150"/>
      <c r="U107" s="150"/>
    </row>
    <row r="108" spans="1:21" ht="18.75" x14ac:dyDescent="0.25">
      <c r="A108" s="152"/>
      <c r="B108" s="153"/>
      <c r="C108" s="153"/>
      <c r="D108" s="163" t="s">
        <v>48</v>
      </c>
      <c r="E108" s="159"/>
      <c r="F108" s="159"/>
      <c r="G108" s="157"/>
      <c r="H108" s="39" t="s">
        <v>46</v>
      </c>
      <c r="I108" s="176">
        <f ca="1">IFERROR(__xludf.DUMMYFUNCTION("IMPORTRANGE(""https://docs.google.com/spreadsheets/d/12pGRKgvn2b31Uz_fjAl3XPzZUM_F2_O-zAHL2XHEPZg/edit?usp=sharing"",""รวมเหนือ!I108"")+IMPORTRANGE(""https://docs.google.com/spreadsheets/d/1c0UfJUA6nE6esVMy0kRcX_PENtt96DMxicQpqi3tips/edit?usp=sharing"","""&amp;"รวมตะวันออกเฉียงเหนือ!I108"")+IMPORTRANGE(""https://docs.google.com/spreadsheets/d/1iNWbYmj0agxPDl_yJgGu1eIremFPVMUuMWUKAjBzvrk/edit?usp=sharing"",""รวมกลาง!I108"")+IMPORTRANGE(""https://docs.google.com/spreadsheets/d/1uenpWDAH2bchvfvsSIjpd4bRU5D1faxJOaE3"&amp;"4GQM5-c/edit?usp=sharing"",""รวมใต้!I108"")"),1500)</f>
        <v>1500</v>
      </c>
      <c r="J108" s="176">
        <f ca="1">IFERROR(__xludf.DUMMYFUNCTION("IMPORTRANGE(""https://docs.google.com/spreadsheets/d/12pGRKgvn2b31Uz_fjAl3XPzZUM_F2_O-zAHL2XHEPZg/edit?usp=sharing"",""รวมเหนือ!J108"")+IMPORTRANGE(""https://docs.google.com/spreadsheets/d/1c0UfJUA6nE6esVMy0kRcX_PENtt96DMxicQpqi3tips/edit?usp=sharing"","""&amp;"รวมตะวันออกเฉียงเหนือ!J108"")+IMPORTRANGE(""https://docs.google.com/spreadsheets/d/1iNWbYmj0agxPDl_yJgGu1eIremFPVMUuMWUKAjBzvrk/edit?usp=sharing"",""รวมกลาง!J108"")+IMPORTRANGE(""https://docs.google.com/spreadsheets/d/1uenpWDAH2bchvfvsSIjpd4bRU5D1faxJOaE3"&amp;"4GQM5-c/edit?usp=sharing"",""รวมใต้!J108"")"),1500)</f>
        <v>1500</v>
      </c>
      <c r="K108" s="42">
        <f t="shared" ref="K108:K109" ca="1" si="82">IF(I108&gt;0,J108*100/I108,0)</f>
        <v>100</v>
      </c>
      <c r="L108" s="41"/>
      <c r="M108" s="41"/>
      <c r="N108" s="41"/>
      <c r="O108" s="150"/>
      <c r="P108" s="150"/>
      <c r="Q108" s="41"/>
      <c r="R108" s="41"/>
      <c r="S108" s="41"/>
      <c r="T108" s="150"/>
      <c r="U108" s="150"/>
    </row>
    <row r="109" spans="1:21" ht="18.75" x14ac:dyDescent="0.25">
      <c r="A109" s="152"/>
      <c r="B109" s="153"/>
      <c r="C109" s="153"/>
      <c r="D109" s="163" t="s">
        <v>49</v>
      </c>
      <c r="E109" s="159"/>
      <c r="F109" s="159"/>
      <c r="G109" s="157"/>
      <c r="H109" s="39" t="s">
        <v>35</v>
      </c>
      <c r="I109" s="176">
        <f ca="1">IFERROR(__xludf.DUMMYFUNCTION("IMPORTRANGE(""https://docs.google.com/spreadsheets/d/12pGRKgvn2b31Uz_fjAl3XPzZUM_F2_O-zAHL2XHEPZg/edit?usp=sharing"",""รวมเหนือ!I109"")+IMPORTRANGE(""https://docs.google.com/spreadsheets/d/1c0UfJUA6nE6esVMy0kRcX_PENtt96DMxicQpqi3tips/edit?usp=sharing"","""&amp;"รวมตะวันออกเฉียงเหนือ!I109"")+IMPORTRANGE(""https://docs.google.com/spreadsheets/d/1iNWbYmj0agxPDl_yJgGu1eIremFPVMUuMWUKAjBzvrk/edit?usp=sharing"",""รวมกลาง!I109"")+IMPORTRANGE(""https://docs.google.com/spreadsheets/d/1uenpWDAH2bchvfvsSIjpd4bRU5D1faxJOaE3"&amp;"4GQM5-c/edit?usp=sharing"",""รวมใต้!I109"")"),500)</f>
        <v>500</v>
      </c>
      <c r="J109" s="176">
        <f ca="1">IFERROR(__xludf.DUMMYFUNCTION("IMPORTRANGE(""https://docs.google.com/spreadsheets/d/12pGRKgvn2b31Uz_fjAl3XPzZUM_F2_O-zAHL2XHEPZg/edit?usp=sharing"",""รวมเหนือ!J109"")+IMPORTRANGE(""https://docs.google.com/spreadsheets/d/1c0UfJUA6nE6esVMy0kRcX_PENtt96DMxicQpqi3tips/edit?usp=sharing"","""&amp;"รวมตะวันออกเฉียงเหนือ!J109"")+IMPORTRANGE(""https://docs.google.com/spreadsheets/d/1iNWbYmj0agxPDl_yJgGu1eIremFPVMUuMWUKAjBzvrk/edit?usp=sharing"",""รวมกลาง!J109"")+IMPORTRANGE(""https://docs.google.com/spreadsheets/d/1uenpWDAH2bchvfvsSIjpd4bRU5D1faxJOaE3"&amp;"4GQM5-c/edit?usp=sharing"",""รวมใต้!J109"")"),500)</f>
        <v>500</v>
      </c>
      <c r="K109" s="42">
        <f t="shared" ca="1" si="82"/>
        <v>100</v>
      </c>
      <c r="L109" s="41"/>
      <c r="M109" s="41"/>
      <c r="N109" s="41"/>
      <c r="O109" s="150"/>
      <c r="P109" s="150"/>
      <c r="Q109" s="41"/>
      <c r="R109" s="41"/>
      <c r="S109" s="41"/>
      <c r="T109" s="150"/>
      <c r="U109" s="150"/>
    </row>
    <row r="110" spans="1:21" ht="12.75" hidden="1" x14ac:dyDescent="0.2">
      <c r="A110" s="172"/>
      <c r="B110" s="173"/>
      <c r="C110" s="173"/>
      <c r="D110" s="59"/>
      <c r="E110" s="59"/>
      <c r="F110" s="59"/>
      <c r="G110" s="60"/>
      <c r="H110" s="60"/>
      <c r="I110" s="61"/>
      <c r="J110" s="61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1:21" ht="12.75" hidden="1" x14ac:dyDescent="0.2">
      <c r="A111" s="172"/>
      <c r="B111" s="173"/>
      <c r="C111" s="173"/>
      <c r="D111" s="59"/>
      <c r="E111" s="59"/>
      <c r="F111" s="59"/>
      <c r="G111" s="60"/>
      <c r="H111" s="60"/>
      <c r="I111" s="61"/>
      <c r="J111" s="61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1:21" ht="12.75" hidden="1" x14ac:dyDescent="0.2">
      <c r="A112" s="172"/>
      <c r="B112" s="173"/>
      <c r="C112" s="173"/>
      <c r="D112" s="173"/>
      <c r="E112" s="59"/>
      <c r="F112" s="59"/>
      <c r="G112" s="60"/>
      <c r="H112" s="60"/>
      <c r="I112" s="61"/>
      <c r="J112" s="61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1:21" ht="18.75" x14ac:dyDescent="0.25">
      <c r="A113" s="152"/>
      <c r="B113" s="153"/>
      <c r="C113" s="153"/>
      <c r="D113" s="163" t="s">
        <v>50</v>
      </c>
      <c r="E113" s="159"/>
      <c r="F113" s="159"/>
      <c r="G113" s="157"/>
      <c r="H113" s="164" t="s">
        <v>46</v>
      </c>
      <c r="I113" s="165">
        <f ca="1">IFERROR(__xludf.DUMMYFUNCTION("IMPORTRANGE(""https://docs.google.com/spreadsheets/d/12pGRKgvn2b31Uz_fjAl3XPzZUM_F2_O-zAHL2XHEPZg/edit?usp=sharing"",""รวมเหนือ!I113"")+IMPORTRANGE(""https://docs.google.com/spreadsheets/d/1c0UfJUA6nE6esVMy0kRcX_PENtt96DMxicQpqi3tips/edit?usp=sharing"","""&amp;"รวมตะวันออกเฉียงเหนือ!I113"")+IMPORTRANGE(""https://docs.google.com/spreadsheets/d/1iNWbYmj0agxPDl_yJgGu1eIremFPVMUuMWUKAjBzvrk/edit?usp=sharing"",""รวมกลาง!I113"")+IMPORTRANGE(""https://docs.google.com/spreadsheets/d/1uenpWDAH2bchvfvsSIjpd4bRU5D1faxJOaE3"&amp;"4GQM5-c/edit?usp=sharing"",""รวมใต้!I113"")"),1500)</f>
        <v>1500</v>
      </c>
      <c r="J113" s="176">
        <f ca="1">IFERROR(__xludf.DUMMYFUNCTION("IMPORTRANGE(""https://docs.google.com/spreadsheets/d/12pGRKgvn2b31Uz_fjAl3XPzZUM_F2_O-zAHL2XHEPZg/edit?usp=sharing"",""รวมเหนือ!J113"")+IMPORTRANGE(""https://docs.google.com/spreadsheets/d/1c0UfJUA6nE6esVMy0kRcX_PENtt96DMxicQpqi3tips/edit?usp=sharing"","""&amp;"รวมตะวันออกเฉียงเหนือ!J113"")+IMPORTRANGE(""https://docs.google.com/spreadsheets/d/1iNWbYmj0agxPDl_yJgGu1eIremFPVMUuMWUKAjBzvrk/edit?usp=sharing"",""รวมกลาง!J113"")+IMPORTRANGE(""https://docs.google.com/spreadsheets/d/1uenpWDAH2bchvfvsSIjpd4bRU5D1faxJOaE3"&amp;"4GQM5-c/edit?usp=sharing"",""รวมใต้!J113"")"),1500)</f>
        <v>1500</v>
      </c>
      <c r="K113" s="42">
        <f t="shared" ref="K113:K114" ca="1" si="83">IF(I113&gt;0,J113*100/I113,0)</f>
        <v>100</v>
      </c>
      <c r="L113" s="41"/>
      <c r="M113" s="41"/>
      <c r="N113" s="41"/>
      <c r="O113" s="150"/>
      <c r="P113" s="150"/>
      <c r="Q113" s="41"/>
      <c r="R113" s="41"/>
      <c r="S113" s="41"/>
      <c r="T113" s="150"/>
      <c r="U113" s="150"/>
    </row>
    <row r="114" spans="1:21" ht="18.75" x14ac:dyDescent="0.25">
      <c r="A114" s="152"/>
      <c r="B114" s="153"/>
      <c r="C114" s="153"/>
      <c r="D114" s="163"/>
      <c r="E114" s="159"/>
      <c r="F114" s="159"/>
      <c r="G114" s="157"/>
      <c r="H114" s="164" t="s">
        <v>35</v>
      </c>
      <c r="I114" s="165">
        <f ca="1">IFERROR(__xludf.DUMMYFUNCTION("IMPORTRANGE(""https://docs.google.com/spreadsheets/d/12pGRKgvn2b31Uz_fjAl3XPzZUM_F2_O-zAHL2XHEPZg/edit?usp=sharing"",""รวมเหนือ!I114"")+IMPORTRANGE(""https://docs.google.com/spreadsheets/d/1c0UfJUA6nE6esVMy0kRcX_PENtt96DMxicQpqi3tips/edit?usp=sharing"","""&amp;"รวมตะวันออกเฉียงเหนือ!I114"")+IMPORTRANGE(""https://docs.google.com/spreadsheets/d/1iNWbYmj0agxPDl_yJgGu1eIremFPVMUuMWUKAjBzvrk/edit?usp=sharing"",""รวมกลาง!I114"")+IMPORTRANGE(""https://docs.google.com/spreadsheets/d/1uenpWDAH2bchvfvsSIjpd4bRU5D1faxJOaE3"&amp;"4GQM5-c/edit?usp=sharing"",""รวมใต้!I114"")"),500)</f>
        <v>500</v>
      </c>
      <c r="J114" s="176">
        <f ca="1">IFERROR(__xludf.DUMMYFUNCTION("IMPORTRANGE(""https://docs.google.com/spreadsheets/d/12pGRKgvn2b31Uz_fjAl3XPzZUM_F2_O-zAHL2XHEPZg/edit?usp=sharing"",""รวมเหนือ!J114"")+IMPORTRANGE(""https://docs.google.com/spreadsheets/d/1c0UfJUA6nE6esVMy0kRcX_PENtt96DMxicQpqi3tips/edit?usp=sharing"","""&amp;"รวมตะวันออกเฉียงเหนือ!J114"")+IMPORTRANGE(""https://docs.google.com/spreadsheets/d/1iNWbYmj0agxPDl_yJgGu1eIremFPVMUuMWUKAjBzvrk/edit?usp=sharing"",""รวมกลาง!J114"")+IMPORTRANGE(""https://docs.google.com/spreadsheets/d/1uenpWDAH2bchvfvsSIjpd4bRU5D1faxJOaE3"&amp;"4GQM5-c/edit?usp=sharing"",""รวมใต้!J114"")"),500)</f>
        <v>500</v>
      </c>
      <c r="K114" s="42">
        <f t="shared" ca="1" si="83"/>
        <v>100</v>
      </c>
      <c r="L114" s="41"/>
      <c r="M114" s="41"/>
      <c r="N114" s="41"/>
      <c r="O114" s="150"/>
      <c r="P114" s="150"/>
      <c r="Q114" s="41"/>
      <c r="R114" s="41"/>
      <c r="S114" s="41"/>
      <c r="T114" s="150"/>
      <c r="U114" s="150"/>
    </row>
    <row r="115" spans="1:21" ht="19.5" x14ac:dyDescent="0.3">
      <c r="A115" s="131" t="s">
        <v>51</v>
      </c>
      <c r="B115" s="133"/>
      <c r="C115" s="177"/>
      <c r="D115" s="132"/>
      <c r="E115" s="132"/>
      <c r="F115" s="132"/>
      <c r="G115" s="132"/>
      <c r="H115" s="133"/>
      <c r="I115" s="178"/>
      <c r="J115" s="178"/>
      <c r="K115" s="179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</row>
    <row r="116" spans="1:21" ht="19.5" x14ac:dyDescent="0.3">
      <c r="A116" s="137"/>
      <c r="B116" s="180" t="s">
        <v>52</v>
      </c>
      <c r="C116" s="181"/>
      <c r="D116" s="139"/>
      <c r="E116" s="24"/>
      <c r="F116" s="24"/>
      <c r="G116" s="27"/>
      <c r="H116" s="182" t="s">
        <v>35</v>
      </c>
      <c r="I116" s="141">
        <f t="shared" ref="I116:J116" ca="1" si="84">I127</f>
        <v>2000</v>
      </c>
      <c r="J116" s="141">
        <f t="shared" ca="1" si="84"/>
        <v>2000</v>
      </c>
      <c r="K116" s="31">
        <f ca="1">IF(I116&gt;0,J116*100/I116,0)</f>
        <v>100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ht="19.5" x14ac:dyDescent="0.3">
      <c r="A117" s="142"/>
      <c r="B117" s="170"/>
      <c r="C117" s="143" t="s">
        <v>18</v>
      </c>
      <c r="D117" s="144" t="s">
        <v>19</v>
      </c>
      <c r="E117" s="36"/>
      <c r="F117" s="36"/>
      <c r="G117" s="38"/>
      <c r="H117" s="145" t="s">
        <v>14</v>
      </c>
      <c r="I117" s="40"/>
      <c r="J117" s="40"/>
      <c r="K117" s="41"/>
      <c r="L117" s="146">
        <f t="shared" ref="L117:N117" ca="1" si="85">L118+L119</f>
        <v>2725100</v>
      </c>
      <c r="M117" s="146">
        <f t="shared" ca="1" si="85"/>
        <v>2698940</v>
      </c>
      <c r="N117" s="146">
        <f t="shared" ca="1" si="85"/>
        <v>764044</v>
      </c>
      <c r="O117" s="146">
        <f t="shared" ref="O117:O125" ca="1" si="86">IF(L117&gt;0,N117*100/L117,0)</f>
        <v>28.037283035484936</v>
      </c>
      <c r="P117" s="146">
        <f t="shared" ref="P117:P125" ca="1" si="87">IF(M117&gt;0,N117*100/M117,0)</f>
        <v>28.30903984527259</v>
      </c>
      <c r="Q117" s="146">
        <f t="shared" ref="Q117:S117" ca="1" si="88">Q118+Q119</f>
        <v>23588000</v>
      </c>
      <c r="R117" s="146">
        <f t="shared" ca="1" si="88"/>
        <v>23588000</v>
      </c>
      <c r="S117" s="146">
        <f t="shared" ca="1" si="88"/>
        <v>15809107.07</v>
      </c>
      <c r="T117" s="146">
        <f t="shared" ref="T117:T125" ca="1" si="89">IF(Q117&gt;0,S117*100/Q117,0)</f>
        <v>67.021820713922338</v>
      </c>
      <c r="U117" s="146">
        <f t="shared" ref="U117:U125" ca="1" si="90">IF(R117&gt;0,S117*100/R117,0)</f>
        <v>67.021820713922338</v>
      </c>
    </row>
    <row r="118" spans="1:21" ht="18.75" x14ac:dyDescent="0.25">
      <c r="A118" s="142"/>
      <c r="B118" s="170"/>
      <c r="C118" s="170"/>
      <c r="D118" s="170"/>
      <c r="E118" s="43" t="s">
        <v>20</v>
      </c>
      <c r="F118" s="36"/>
      <c r="G118" s="38"/>
      <c r="H118" s="147" t="s">
        <v>14</v>
      </c>
      <c r="I118" s="40"/>
      <c r="J118" s="40"/>
      <c r="K118" s="41"/>
      <c r="L118" s="42">
        <f t="shared" ref="L118:N118" ca="1" si="91">L121+L124</f>
        <v>452500</v>
      </c>
      <c r="M118" s="42">
        <f t="shared" ca="1" si="91"/>
        <v>464240</v>
      </c>
      <c r="N118" s="42">
        <f t="shared" ca="1" si="91"/>
        <v>450044</v>
      </c>
      <c r="O118" s="42">
        <f t="shared" ca="1" si="86"/>
        <v>99.45723756906078</v>
      </c>
      <c r="P118" s="42">
        <f t="shared" ca="1" si="87"/>
        <v>96.942098914354645</v>
      </c>
      <c r="Q118" s="42">
        <f ca="1">IFERROR(__xludf.DUMMYFUNCTION("IMPORTRANGE(""https://docs.google.com/spreadsheets/d/1ItG2mGa2ceCfYo0BwxsXqNm01IGEUdYcSSLTEv9YCik/edit?usp=sharing"",""เบิกจ่ายกองทุน!U11"")"),1607320)</f>
        <v>1607320</v>
      </c>
      <c r="R118" s="42">
        <f ca="1">IFERROR(__xludf.DUMMYFUNCTION("IMPORTRANGE(""https://docs.google.com/spreadsheets/d/1ItG2mGa2ceCfYo0BwxsXqNm01IGEUdYcSSLTEv9YCik/edit?usp=sharing"",""เบิกจ่ายกองทุน!V11"")"),1157770)</f>
        <v>1157770</v>
      </c>
      <c r="S118" s="42">
        <f ca="1">IFERROR(__xludf.DUMMYFUNCTION("IMPORTRANGE(""https://docs.google.com/spreadsheets/d/1ItG2mGa2ceCfYo0BwxsXqNm01IGEUdYcSSLTEv9YCik/edit?usp=sharing"",""เบิกจ่ายกองทุน!W11"")"),376654.73)</f>
        <v>376654.73</v>
      </c>
      <c r="T118" s="42">
        <f t="shared" ca="1" si="89"/>
        <v>23.433711395366199</v>
      </c>
      <c r="U118" s="42">
        <f t="shared" ca="1" si="90"/>
        <v>32.532776803682943</v>
      </c>
    </row>
    <row r="119" spans="1:21" ht="18.75" x14ac:dyDescent="0.25">
      <c r="A119" s="142"/>
      <c r="B119" s="170"/>
      <c r="C119" s="170"/>
      <c r="D119" s="170"/>
      <c r="E119" s="43" t="s">
        <v>21</v>
      </c>
      <c r="F119" s="36"/>
      <c r="G119" s="38"/>
      <c r="H119" s="147" t="s">
        <v>14</v>
      </c>
      <c r="I119" s="40"/>
      <c r="J119" s="40"/>
      <c r="K119" s="41"/>
      <c r="L119" s="42">
        <f t="shared" ref="L119:N119" ca="1" si="92">L122+L125</f>
        <v>2272600</v>
      </c>
      <c r="M119" s="42">
        <f t="shared" ca="1" si="92"/>
        <v>2234700</v>
      </c>
      <c r="N119" s="42">
        <f t="shared" ca="1" si="92"/>
        <v>314000</v>
      </c>
      <c r="O119" s="42">
        <f t="shared" ca="1" si="86"/>
        <v>13.816773739329403</v>
      </c>
      <c r="P119" s="42">
        <f t="shared" ca="1" si="87"/>
        <v>14.051103056338658</v>
      </c>
      <c r="Q119" s="42">
        <f ca="1">IFERROR(__xludf.DUMMYFUNCTION("IMPORTRANGE(""https://docs.google.com/spreadsheets/d/12pGRKgvn2b31Uz_fjAl3XPzZUM_F2_O-zAHL2XHEPZg/edit?usp=sharing"",""รวมเหนือ!Q117"")+IMPORTRANGE(""https://docs.google.com/spreadsheets/d/1c0UfJUA6nE6esVMy0kRcX_PENtt96DMxicQpqi3tips/edit?usp=sharing"","""&amp;"รวมตะวันออกเฉียงเหนือ!Q117"")+IMPORTRANGE(""https://docs.google.com/spreadsheets/d/1iNWbYmj0agxPDl_yJgGu1eIremFPVMUuMWUKAjBzvrk/edit?usp=sharing"",""รวมกลาง!Q117"")+IMPORTRANGE(""https://docs.google.com/spreadsheets/d/1uenpWDAH2bchvfvsSIjpd4bRU5D1faxJOaE3"&amp;"4GQM5-c/edit?usp=sharing"",""รวมใต้!Q117"")"),21980680)</f>
        <v>21980680</v>
      </c>
      <c r="R119" s="42">
        <f ca="1">IFERROR(__xludf.DUMMYFUNCTION("IMPORTRANGE(""https://docs.google.com/spreadsheets/d/12pGRKgvn2b31Uz_fjAl3XPzZUM_F2_O-zAHL2XHEPZg/edit?usp=sharing"",""รวมเหนือ!R117"")+IMPORTRANGE(""https://docs.google.com/spreadsheets/d/1c0UfJUA6nE6esVMy0kRcX_PENtt96DMxicQpqi3tips/edit?usp=sharing"","""&amp;"รวมตะวันออกเฉียงเหนือ!R117"")+IMPORTRANGE(""https://docs.google.com/spreadsheets/d/1iNWbYmj0agxPDl_yJgGu1eIremFPVMUuMWUKAjBzvrk/edit?usp=sharing"",""รวมกลาง!R117"")+IMPORTRANGE(""https://docs.google.com/spreadsheets/d/1uenpWDAH2bchvfvsSIjpd4bRU5D1faxJOaE3"&amp;"4GQM5-c/edit?usp=sharing"",""รวมใต้!R117"")"),22430230)</f>
        <v>22430230</v>
      </c>
      <c r="S119" s="42">
        <f ca="1">IFERROR(__xludf.DUMMYFUNCTION("IMPORTRANGE(""https://docs.google.com/spreadsheets/d/12pGRKgvn2b31Uz_fjAl3XPzZUM_F2_O-zAHL2XHEPZg/edit?usp=sharing"",""รวมเหนือ!S117"")+IMPORTRANGE(""https://docs.google.com/spreadsheets/d/1c0UfJUA6nE6esVMy0kRcX_PENtt96DMxicQpqi3tips/edit?usp=sharing"","""&amp;"รวมตะวันออกเฉียงเหนือ!S117"")+IMPORTRANGE(""https://docs.google.com/spreadsheets/d/1iNWbYmj0agxPDl_yJgGu1eIremFPVMUuMWUKAjBzvrk/edit?usp=sharing"",""รวมกลาง!S117"")+IMPORTRANGE(""https://docs.google.com/spreadsheets/d/1uenpWDAH2bchvfvsSIjpd4bRU5D1faxJOaE3"&amp;"4GQM5-c/edit?usp=sharing"",""รวมใต้!S117"")"),15432452.34)</f>
        <v>15432452.34</v>
      </c>
      <c r="T119" s="42">
        <f t="shared" ca="1" si="89"/>
        <v>70.20916705033693</v>
      </c>
      <c r="U119" s="42">
        <f t="shared" ca="1" si="90"/>
        <v>68.802024499971694</v>
      </c>
    </row>
    <row r="120" spans="1:21" ht="18.75" hidden="1" x14ac:dyDescent="0.25">
      <c r="A120" s="142"/>
      <c r="B120" s="170"/>
      <c r="C120" s="183"/>
      <c r="D120" s="171" t="s">
        <v>22</v>
      </c>
      <c r="E120" s="36"/>
      <c r="F120" s="36"/>
      <c r="G120" s="38"/>
      <c r="H120" s="184" t="s">
        <v>14</v>
      </c>
      <c r="I120" s="40"/>
      <c r="J120" s="40"/>
      <c r="K120" s="41"/>
      <c r="L120" s="42">
        <f t="shared" ref="L120:N120" ca="1" si="93">L121+L122</f>
        <v>452500</v>
      </c>
      <c r="M120" s="42">
        <f t="shared" ca="1" si="93"/>
        <v>483240</v>
      </c>
      <c r="N120" s="42">
        <f t="shared" ca="1" si="93"/>
        <v>469044</v>
      </c>
      <c r="O120" s="42">
        <f t="shared" ca="1" si="86"/>
        <v>103.65613259668508</v>
      </c>
      <c r="P120" s="42">
        <f t="shared" ca="1" si="87"/>
        <v>97.0623292773777</v>
      </c>
      <c r="Q120" s="42">
        <f t="shared" ref="Q120:S120" si="94">Q121+Q122</f>
        <v>0</v>
      </c>
      <c r="R120" s="42">
        <f t="shared" si="94"/>
        <v>0</v>
      </c>
      <c r="S120" s="42">
        <f t="shared" si="94"/>
        <v>0</v>
      </c>
      <c r="T120" s="42">
        <f t="shared" si="89"/>
        <v>0</v>
      </c>
      <c r="U120" s="42">
        <f t="shared" si="90"/>
        <v>0</v>
      </c>
    </row>
    <row r="121" spans="1:21" ht="18.75" hidden="1" x14ac:dyDescent="0.25">
      <c r="A121" s="142"/>
      <c r="B121" s="170"/>
      <c r="C121" s="183"/>
      <c r="D121" s="170"/>
      <c r="E121" s="43" t="s">
        <v>36</v>
      </c>
      <c r="F121" s="36"/>
      <c r="G121" s="38"/>
      <c r="H121" s="184" t="s">
        <v>14</v>
      </c>
      <c r="I121" s="40"/>
      <c r="J121" s="40"/>
      <c r="K121" s="41"/>
      <c r="L121" s="42">
        <f ca="1">IFERROR(__xludf.DUMMYFUNCTION("IMPORTRANGE(""https://docs.google.com/spreadsheets/d/1-uDff_7J0KD5mKrp0Vvzr7lt3OU09vwQwhkpOPPYv2Y/edit?usp=sharing"",""งบพรบ!BG9"")"),452500)</f>
        <v>452500</v>
      </c>
      <c r="M121" s="42">
        <f ca="1">IFERROR(__xludf.DUMMYFUNCTION("IMPORTRANGE(""https://docs.google.com/spreadsheets/d/1-uDff_7J0KD5mKrp0Vvzr7lt3OU09vwQwhkpOPPYv2Y/edit?usp=sharing"",""งบพรบ!BL9"")"),464240)</f>
        <v>464240</v>
      </c>
      <c r="N121" s="42">
        <f ca="1">IFERROR(__xludf.DUMMYFUNCTION("IMPORTRANGE(""https://docs.google.com/spreadsheets/d/1-uDff_7J0KD5mKrp0Vvzr7lt3OU09vwQwhkpOPPYv2Y/edit?usp=sharing"",""งบพรบ!BN9"")"),450044)</f>
        <v>450044</v>
      </c>
      <c r="O121" s="42">
        <f t="shared" ca="1" si="86"/>
        <v>99.45723756906078</v>
      </c>
      <c r="P121" s="42">
        <f t="shared" ca="1" si="87"/>
        <v>96.942098914354645</v>
      </c>
      <c r="Q121" s="42">
        <v>0</v>
      </c>
      <c r="R121" s="42">
        <v>0</v>
      </c>
      <c r="S121" s="42">
        <v>0</v>
      </c>
      <c r="T121" s="42">
        <f t="shared" si="89"/>
        <v>0</v>
      </c>
      <c r="U121" s="42">
        <f t="shared" si="90"/>
        <v>0</v>
      </c>
    </row>
    <row r="122" spans="1:21" ht="18.75" hidden="1" x14ac:dyDescent="0.25">
      <c r="A122" s="142"/>
      <c r="B122" s="170"/>
      <c r="C122" s="183"/>
      <c r="D122" s="170"/>
      <c r="E122" s="43" t="s">
        <v>37</v>
      </c>
      <c r="F122" s="36"/>
      <c r="G122" s="38"/>
      <c r="H122" s="184" t="s">
        <v>14</v>
      </c>
      <c r="I122" s="40"/>
      <c r="J122" s="40"/>
      <c r="K122" s="41"/>
      <c r="L122" s="42">
        <f ca="1">IFERROR(__xludf.DUMMYFUNCTION("IMPORTRANGE(""https://docs.google.com/spreadsheets/d/12pGRKgvn2b31Uz_fjAl3XPzZUM_F2_O-zAHL2XHEPZg/edit?usp=sharing"",""รวมเหนือ!L122"")+IMPORTRANGE(""https://docs.google.com/spreadsheets/d/1c0UfJUA6nE6esVMy0kRcX_PENtt96DMxicQpqi3tips/edit?usp=sharing"","""&amp;"รวมตะวันออกเฉียงเหนือ!L122"")+IMPORTRANGE(""https://docs.google.com/spreadsheets/d/1iNWbYmj0agxPDl_yJgGu1eIremFPVMUuMWUKAjBzvrk/edit?usp=sharing"",""รวมกลาง!L122"")+IMPORTRANGE(""https://docs.google.com/spreadsheets/d/1uenpWDAH2bchvfvsSIjpd4bRU5D1faxJOaE3"&amp;"4GQM5-c/edit?usp=sharing"",""รวมใต้!L122"")"),0)</f>
        <v>0</v>
      </c>
      <c r="M122" s="42">
        <f ca="1">IFERROR(__xludf.DUMMYFUNCTION("IMPORTRANGE(""https://docs.google.com/spreadsheets/d/12pGRKgvn2b31Uz_fjAl3XPzZUM_F2_O-zAHL2XHEPZg/edit?usp=sharing"",""รวมเหนือ!M122"")+IMPORTRANGE(""https://docs.google.com/spreadsheets/d/1c0UfJUA6nE6esVMy0kRcX_PENtt96DMxicQpqi3tips/edit?usp=sharing"","""&amp;"รวมตะวันออกเฉียงเหนือ!M122"")+IMPORTRANGE(""https://docs.google.com/spreadsheets/d/1iNWbYmj0agxPDl_yJgGu1eIremFPVMUuMWUKAjBzvrk/edit?usp=sharing"",""รวมกลาง!M122"")+IMPORTRANGE(""https://docs.google.com/spreadsheets/d/1uenpWDAH2bchvfvsSIjpd4bRU5D1faxJOaE3"&amp;"4GQM5-c/edit?usp=sharing"",""รวมใต้!M122"")"),19000)</f>
        <v>19000</v>
      </c>
      <c r="N122" s="42">
        <f ca="1">IFERROR(__xludf.DUMMYFUNCTION("IMPORTRANGE(""https://docs.google.com/spreadsheets/d/12pGRKgvn2b31Uz_fjAl3XPzZUM_F2_O-zAHL2XHEPZg/edit?usp=sharing"",""รวมเหนือ!N122"")+IMPORTRANGE(""https://docs.google.com/spreadsheets/d/1c0UfJUA6nE6esVMy0kRcX_PENtt96DMxicQpqi3tips/edit?usp=sharing"","""&amp;"รวมตะวันออกเฉียงเหนือ!N122"")+IMPORTRANGE(""https://docs.google.com/spreadsheets/d/1iNWbYmj0agxPDl_yJgGu1eIremFPVMUuMWUKAjBzvrk/edit?usp=sharing"",""รวมกลาง!N122"")+IMPORTRANGE(""https://docs.google.com/spreadsheets/d/1uenpWDAH2bchvfvsSIjpd4bRU5D1faxJOaE3"&amp;"4GQM5-c/edit?usp=sharing"",""รวมใต้!N122"")"),19000)</f>
        <v>19000</v>
      </c>
      <c r="O122" s="42">
        <f t="shared" ca="1" si="86"/>
        <v>0</v>
      </c>
      <c r="P122" s="42">
        <f t="shared" ca="1" si="87"/>
        <v>100</v>
      </c>
      <c r="Q122" s="42">
        <v>0</v>
      </c>
      <c r="R122" s="42">
        <v>0</v>
      </c>
      <c r="S122" s="42">
        <v>0</v>
      </c>
      <c r="T122" s="42">
        <f t="shared" si="89"/>
        <v>0</v>
      </c>
      <c r="U122" s="42">
        <f t="shared" si="90"/>
        <v>0</v>
      </c>
    </row>
    <row r="123" spans="1:21" ht="18.75" hidden="1" x14ac:dyDescent="0.25">
      <c r="A123" s="142"/>
      <c r="B123" s="36"/>
      <c r="C123" s="183"/>
      <c r="D123" s="171" t="s">
        <v>23</v>
      </c>
      <c r="E123" s="36"/>
      <c r="F123" s="36"/>
      <c r="G123" s="38"/>
      <c r="H123" s="147" t="s">
        <v>14</v>
      </c>
      <c r="I123" s="40"/>
      <c r="J123" s="40"/>
      <c r="K123" s="41"/>
      <c r="L123" s="42">
        <f t="shared" ref="L123:N123" ca="1" si="95">L124+L125</f>
        <v>2272600</v>
      </c>
      <c r="M123" s="42">
        <f t="shared" ca="1" si="95"/>
        <v>2215700</v>
      </c>
      <c r="N123" s="42">
        <f t="shared" ca="1" si="95"/>
        <v>295000</v>
      </c>
      <c r="O123" s="42">
        <f t="shared" ca="1" si="86"/>
        <v>12.980726920707559</v>
      </c>
      <c r="P123" s="42">
        <f t="shared" ca="1" si="87"/>
        <v>13.314076815453356</v>
      </c>
      <c r="Q123" s="42">
        <f t="shared" ref="Q123:S123" si="96">Q124+Q125</f>
        <v>0</v>
      </c>
      <c r="R123" s="42">
        <f t="shared" si="96"/>
        <v>0</v>
      </c>
      <c r="S123" s="42">
        <f t="shared" si="96"/>
        <v>0</v>
      </c>
      <c r="T123" s="42">
        <f t="shared" si="89"/>
        <v>0</v>
      </c>
      <c r="U123" s="42">
        <f t="shared" si="90"/>
        <v>0</v>
      </c>
    </row>
    <row r="124" spans="1:21" ht="18.75" hidden="1" x14ac:dyDescent="0.25">
      <c r="A124" s="142"/>
      <c r="B124" s="36"/>
      <c r="C124" s="183"/>
      <c r="D124" s="170"/>
      <c r="E124" s="43" t="s">
        <v>20</v>
      </c>
      <c r="F124" s="36"/>
      <c r="G124" s="38"/>
      <c r="H124" s="184" t="s">
        <v>14</v>
      </c>
      <c r="I124" s="40"/>
      <c r="J124" s="40"/>
      <c r="K124" s="41"/>
      <c r="L124" s="42">
        <f ca="1">IFERROR(__xludf.DUMMYFUNCTION("IMPORTRANGE(""https://docs.google.com/spreadsheets/d/1-uDff_7J0KD5mKrp0Vvzr7lt3OU09vwQwhkpOPPYv2Y/edit?usp=sharing"",""งบพรบ!BJ9"")"),0)</f>
        <v>0</v>
      </c>
      <c r="M124" s="42">
        <f ca="1">IFERROR(__xludf.DUMMYFUNCTION("IMPORTRANGE(""https://docs.google.com/spreadsheets/d/1-uDff_7J0KD5mKrp0Vvzr7lt3OU09vwQwhkpOPPYv2Y/edit?usp=sharing"",""งบพรบ!BM9"")"),0)</f>
        <v>0</v>
      </c>
      <c r="N124" s="42">
        <f ca="1">IFERROR(__xludf.DUMMYFUNCTION("IMPORTRANGE(""https://docs.google.com/spreadsheets/d/1-uDff_7J0KD5mKrp0Vvzr7lt3OU09vwQwhkpOPPYv2Y/edit?usp=sharing"",""งบพรบ!BO9"")"),0)</f>
        <v>0</v>
      </c>
      <c r="O124" s="42">
        <f t="shared" ca="1" si="86"/>
        <v>0</v>
      </c>
      <c r="P124" s="42">
        <f t="shared" ca="1" si="87"/>
        <v>0</v>
      </c>
      <c r="Q124" s="42">
        <v>0</v>
      </c>
      <c r="R124" s="42">
        <v>0</v>
      </c>
      <c r="S124" s="42">
        <v>0</v>
      </c>
      <c r="T124" s="42">
        <f t="shared" si="89"/>
        <v>0</v>
      </c>
      <c r="U124" s="42">
        <f t="shared" si="90"/>
        <v>0</v>
      </c>
    </row>
    <row r="125" spans="1:21" ht="18.75" hidden="1" x14ac:dyDescent="0.25">
      <c r="A125" s="142"/>
      <c r="B125" s="36"/>
      <c r="C125" s="36"/>
      <c r="D125" s="36"/>
      <c r="E125" s="43" t="s">
        <v>21</v>
      </c>
      <c r="F125" s="36"/>
      <c r="G125" s="38"/>
      <c r="H125" s="147" t="s">
        <v>14</v>
      </c>
      <c r="I125" s="40"/>
      <c r="J125" s="40"/>
      <c r="K125" s="41"/>
      <c r="L125" s="42">
        <f ca="1">IFERROR(__xludf.DUMMYFUNCTION("IMPORTRANGE(""https://docs.google.com/spreadsheets/d/12pGRKgvn2b31Uz_fjAl3XPzZUM_F2_O-zAHL2XHEPZg/edit?usp=sharing"",""รวมเหนือ!L125"")+IMPORTRANGE(""https://docs.google.com/spreadsheets/d/1c0UfJUA6nE6esVMy0kRcX_PENtt96DMxicQpqi3tips/edit?usp=sharing"","""&amp;"รวมตะวันออกเฉียงเหนือ!L125"")+IMPORTRANGE(""https://docs.google.com/spreadsheets/d/1iNWbYmj0agxPDl_yJgGu1eIremFPVMUuMWUKAjBzvrk/edit?usp=sharing"",""รวมกลาง!L125"")+IMPORTRANGE(""https://docs.google.com/spreadsheets/d/1uenpWDAH2bchvfvsSIjpd4bRU5D1faxJOaE3"&amp;"4GQM5-c/edit?usp=sharing"",""รวมใต้!L125"")"),2272600)</f>
        <v>2272600</v>
      </c>
      <c r="M125" s="42">
        <f ca="1">IFERROR(__xludf.DUMMYFUNCTION("IMPORTRANGE(""https://docs.google.com/spreadsheets/d/12pGRKgvn2b31Uz_fjAl3XPzZUM_F2_O-zAHL2XHEPZg/edit?usp=sharing"",""รวมเหนือ!M125"")+IMPORTRANGE(""https://docs.google.com/spreadsheets/d/1c0UfJUA6nE6esVMy0kRcX_PENtt96DMxicQpqi3tips/edit?usp=sharing"","""&amp;"รวมตะวันออกเฉียงเหนือ!M125"")+IMPORTRANGE(""https://docs.google.com/spreadsheets/d/1iNWbYmj0agxPDl_yJgGu1eIremFPVMUuMWUKAjBzvrk/edit?usp=sharing"",""รวมกลาง!M125"")+IMPORTRANGE(""https://docs.google.com/spreadsheets/d/1uenpWDAH2bchvfvsSIjpd4bRU5D1faxJOaE3"&amp;"4GQM5-c/edit?usp=sharing"",""รวมใต้!M125"")"),2215700)</f>
        <v>2215700</v>
      </c>
      <c r="N125" s="42">
        <f ca="1">IFERROR(__xludf.DUMMYFUNCTION("IMPORTRANGE(""https://docs.google.com/spreadsheets/d/12pGRKgvn2b31Uz_fjAl3XPzZUM_F2_O-zAHL2XHEPZg/edit?usp=sharing"",""รวมเหนือ!N125"")+IMPORTRANGE(""https://docs.google.com/spreadsheets/d/1c0UfJUA6nE6esVMy0kRcX_PENtt96DMxicQpqi3tips/edit?usp=sharing"","""&amp;"รวมตะวันออกเฉียงเหนือ!N125"")+IMPORTRANGE(""https://docs.google.com/spreadsheets/d/1iNWbYmj0agxPDl_yJgGu1eIremFPVMUuMWUKAjBzvrk/edit?usp=sharing"",""รวมกลาง!N125"")+IMPORTRANGE(""https://docs.google.com/spreadsheets/d/1uenpWDAH2bchvfvsSIjpd4bRU5D1faxJOaE3"&amp;"4GQM5-c/edit?usp=sharing"",""รวมใต้!N125"")"),295000)</f>
        <v>295000</v>
      </c>
      <c r="O125" s="42">
        <f t="shared" ca="1" si="86"/>
        <v>12.980726920707559</v>
      </c>
      <c r="P125" s="42">
        <f t="shared" ca="1" si="87"/>
        <v>13.314076815453356</v>
      </c>
      <c r="Q125" s="42">
        <v>0</v>
      </c>
      <c r="R125" s="42">
        <v>0</v>
      </c>
      <c r="S125" s="42">
        <v>0</v>
      </c>
      <c r="T125" s="42">
        <f t="shared" si="89"/>
        <v>0</v>
      </c>
      <c r="U125" s="42">
        <f t="shared" si="90"/>
        <v>0</v>
      </c>
    </row>
    <row r="126" spans="1:21" ht="19.5" x14ac:dyDescent="0.3">
      <c r="A126" s="152"/>
      <c r="B126" s="153"/>
      <c r="C126" s="143" t="s">
        <v>18</v>
      </c>
      <c r="D126" s="154" t="s">
        <v>38</v>
      </c>
      <c r="E126" s="155"/>
      <c r="F126" s="155"/>
      <c r="G126" s="156"/>
      <c r="H126" s="185"/>
      <c r="I126" s="40"/>
      <c r="J126" s="40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spans="1:21" ht="18.75" x14ac:dyDescent="0.25">
      <c r="A127" s="152"/>
      <c r="B127" s="153"/>
      <c r="C127" s="153"/>
      <c r="D127" s="163" t="s">
        <v>53</v>
      </c>
      <c r="E127" s="159"/>
      <c r="F127" s="159"/>
      <c r="G127" s="157"/>
      <c r="H127" s="147" t="s">
        <v>35</v>
      </c>
      <c r="I127" s="176">
        <f ca="1">IFERROR(__xludf.DUMMYFUNCTION("IMPORTRANGE(""https://docs.google.com/spreadsheets/d/12pGRKgvn2b31Uz_fjAl3XPzZUM_F2_O-zAHL2XHEPZg/edit?usp=sharing"",""รวมเหนือ!I127"")+IMPORTRANGE(""https://docs.google.com/spreadsheets/d/1c0UfJUA6nE6esVMy0kRcX_PENtt96DMxicQpqi3tips/edit?usp=sharing"","""&amp;"รวมตะวันออกเฉียงเหนือ!I127"")+IMPORTRANGE(""https://docs.google.com/spreadsheets/d/1iNWbYmj0agxPDl_yJgGu1eIremFPVMUuMWUKAjBzvrk/edit?usp=sharing"",""รวมกลาง!I127"")+IMPORTRANGE(""https://docs.google.com/spreadsheets/d/1uenpWDAH2bchvfvsSIjpd4bRU5D1faxJOaE3"&amp;"4GQM5-c/edit?usp=sharing"",""รวมใต้!I127"")"),2000)</f>
        <v>2000</v>
      </c>
      <c r="J127" s="176">
        <f ca="1">IFERROR(__xludf.DUMMYFUNCTION("IMPORTRANGE(""https://docs.google.com/spreadsheets/d/12pGRKgvn2b31Uz_fjAl3XPzZUM_F2_O-zAHL2XHEPZg/edit?usp=sharing"",""รวมเหนือ!J127"")+IMPORTRANGE(""https://docs.google.com/spreadsheets/d/1c0UfJUA6nE6esVMy0kRcX_PENtt96DMxicQpqi3tips/edit?usp=sharing"","""&amp;"รวมตะวันออกเฉียงเหนือ!J127"")+IMPORTRANGE(""https://docs.google.com/spreadsheets/d/1iNWbYmj0agxPDl_yJgGu1eIremFPVMUuMWUKAjBzvrk/edit?usp=sharing"",""รวมกลาง!J127"")+IMPORTRANGE(""https://docs.google.com/spreadsheets/d/1uenpWDAH2bchvfvsSIjpd4bRU5D1faxJOaE3"&amp;"4GQM5-c/edit?usp=sharing"",""รวมใต้!J127"")"),2000)</f>
        <v>2000</v>
      </c>
      <c r="K127" s="42">
        <f t="shared" ref="K127:K131" ca="1" si="97">IF(I127&gt;0,J127*100/I127,0)</f>
        <v>100</v>
      </c>
      <c r="L127" s="41"/>
      <c r="M127" s="41"/>
      <c r="N127" s="41"/>
      <c r="O127" s="41"/>
      <c r="P127" s="41"/>
      <c r="Q127" s="41"/>
      <c r="R127" s="41"/>
      <c r="S127" s="41"/>
      <c r="T127" s="41"/>
      <c r="U127" s="41"/>
    </row>
    <row r="128" spans="1:21" ht="18.75" x14ac:dyDescent="0.25">
      <c r="A128" s="152"/>
      <c r="B128" s="153"/>
      <c r="C128" s="153"/>
      <c r="D128" s="159"/>
      <c r="E128" s="159"/>
      <c r="F128" s="159"/>
      <c r="G128" s="157"/>
      <c r="H128" s="147" t="s">
        <v>54</v>
      </c>
      <c r="I128" s="176">
        <f ca="1">IFERROR(__xludf.DUMMYFUNCTION("IMPORTRANGE(""https://docs.google.com/spreadsheets/d/12pGRKgvn2b31Uz_fjAl3XPzZUM_F2_O-zAHL2XHEPZg/edit?usp=sharing"",""รวมเหนือ!I128"")+IMPORTRANGE(""https://docs.google.com/spreadsheets/d/1c0UfJUA6nE6esVMy0kRcX_PENtt96DMxicQpqi3tips/edit?usp=sharing"","""&amp;"รวมตะวันออกเฉียงเหนือ!I128"")+IMPORTRANGE(""https://docs.google.com/spreadsheets/d/1iNWbYmj0agxPDl_yJgGu1eIremFPVMUuMWUKAjBzvrk/edit?usp=sharing"",""รวมกลาง!I128"")+IMPORTRANGE(""https://docs.google.com/spreadsheets/d/1uenpWDAH2bchvfvsSIjpd4bRU5D1faxJOaE3"&amp;"4GQM5-c/edit?usp=sharing"",""รวมใต้!I128"")"),98)</f>
        <v>98</v>
      </c>
      <c r="J128" s="176">
        <f ca="1">IFERROR(__xludf.DUMMYFUNCTION("IMPORTRANGE(""https://docs.google.com/spreadsheets/d/12pGRKgvn2b31Uz_fjAl3XPzZUM_F2_O-zAHL2XHEPZg/edit?usp=sharing"",""รวมเหนือ!J128"")+IMPORTRANGE(""https://docs.google.com/spreadsheets/d/1c0UfJUA6nE6esVMy0kRcX_PENtt96DMxicQpqi3tips/edit?usp=sharing"","""&amp;"รวมตะวันออกเฉียงเหนือ!J128"")+IMPORTRANGE(""https://docs.google.com/spreadsheets/d/1iNWbYmj0agxPDl_yJgGu1eIremFPVMUuMWUKAjBzvrk/edit?usp=sharing"",""รวมกลาง!J128"")+IMPORTRANGE(""https://docs.google.com/spreadsheets/d/1uenpWDAH2bchvfvsSIjpd4bRU5D1faxJOaE3"&amp;"4GQM5-c/edit?usp=sharing"",""รวมใต้!J128"")"),98)</f>
        <v>98</v>
      </c>
      <c r="K128" s="42">
        <f t="shared" ca="1" si="97"/>
        <v>100</v>
      </c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spans="1:21" ht="18.75" x14ac:dyDescent="0.25">
      <c r="A129" s="152"/>
      <c r="B129" s="153"/>
      <c r="C129" s="153"/>
      <c r="D129" s="163" t="s">
        <v>55</v>
      </c>
      <c r="E129" s="159"/>
      <c r="F129" s="159"/>
      <c r="G129" s="157"/>
      <c r="H129" s="147" t="s">
        <v>35</v>
      </c>
      <c r="I129" s="176">
        <f ca="1">IFERROR(__xludf.DUMMYFUNCTION("IMPORTRANGE(""https://docs.google.com/spreadsheets/d/12pGRKgvn2b31Uz_fjAl3XPzZUM_F2_O-zAHL2XHEPZg/edit?usp=sharing"",""รวมเหนือ!I129"")+IMPORTRANGE(""https://docs.google.com/spreadsheets/d/1c0UfJUA6nE6esVMy0kRcX_PENtt96DMxicQpqi3tips/edit?usp=sharing"","""&amp;"รวมตะวันออกเฉียงเหนือ!I129"")+IMPORTRANGE(""https://docs.google.com/spreadsheets/d/1iNWbYmj0agxPDl_yJgGu1eIremFPVMUuMWUKAjBzvrk/edit?usp=sharing"",""รวมกลาง!I129"")+IMPORTRANGE(""https://docs.google.com/spreadsheets/d/1uenpWDAH2bchvfvsSIjpd4bRU5D1faxJOaE3"&amp;"4GQM5-c/edit?usp=sharing"",""รวมใต้!I129"")"),1400)</f>
        <v>1400</v>
      </c>
      <c r="J129" s="176">
        <f ca="1">IFERROR(__xludf.DUMMYFUNCTION("IMPORTRANGE(""https://docs.google.com/spreadsheets/d/12pGRKgvn2b31Uz_fjAl3XPzZUM_F2_O-zAHL2XHEPZg/edit?usp=sharing"",""รวมเหนือ!J129"")+IMPORTRANGE(""https://docs.google.com/spreadsheets/d/1c0UfJUA6nE6esVMy0kRcX_PENtt96DMxicQpqi3tips/edit?usp=sharing"","""&amp;"รวมตะวันออกเฉียงเหนือ!J129"")+IMPORTRANGE(""https://docs.google.com/spreadsheets/d/1iNWbYmj0agxPDl_yJgGu1eIremFPVMUuMWUKAjBzvrk/edit?usp=sharing"",""รวมกลาง!J129"")+IMPORTRANGE(""https://docs.google.com/spreadsheets/d/1uenpWDAH2bchvfvsSIjpd4bRU5D1faxJOaE3"&amp;"4GQM5-c/edit?usp=sharing"",""รวมใต้!J129"")"),1400)</f>
        <v>1400</v>
      </c>
      <c r="K129" s="42">
        <f t="shared" ca="1" si="97"/>
        <v>100</v>
      </c>
      <c r="L129" s="41"/>
      <c r="M129" s="41"/>
      <c r="N129" s="41"/>
      <c r="O129" s="41"/>
      <c r="P129" s="41"/>
      <c r="Q129" s="41"/>
      <c r="R129" s="41"/>
      <c r="S129" s="41"/>
      <c r="T129" s="41"/>
      <c r="U129" s="41"/>
    </row>
    <row r="130" spans="1:21" ht="18.75" x14ac:dyDescent="0.25">
      <c r="A130" s="152"/>
      <c r="B130" s="153"/>
      <c r="C130" s="153"/>
      <c r="D130" s="159"/>
      <c r="E130" s="159"/>
      <c r="F130" s="159"/>
      <c r="G130" s="157"/>
      <c r="H130" s="147" t="s">
        <v>54</v>
      </c>
      <c r="I130" s="176">
        <f ca="1">IFERROR(__xludf.DUMMYFUNCTION("IMPORTRANGE(""https://docs.google.com/spreadsheets/d/12pGRKgvn2b31Uz_fjAl3XPzZUM_F2_O-zAHL2XHEPZg/edit?usp=sharing"",""รวมเหนือ!I130"")+IMPORTRANGE(""https://docs.google.com/spreadsheets/d/1c0UfJUA6nE6esVMy0kRcX_PENtt96DMxicQpqi3tips/edit?usp=sharing"","""&amp;"รวมตะวันออกเฉียงเหนือ!I130"")+IMPORTRANGE(""https://docs.google.com/spreadsheets/d/1iNWbYmj0agxPDl_yJgGu1eIremFPVMUuMWUKAjBzvrk/edit?usp=sharing"",""รวมกลาง!I130"")+IMPORTRANGE(""https://docs.google.com/spreadsheets/d/1uenpWDAH2bchvfvsSIjpd4bRU5D1faxJOaE3"&amp;"4GQM5-c/edit?usp=sharing"",""รวมใต้!I130"")"),82)</f>
        <v>82</v>
      </c>
      <c r="J130" s="176">
        <f ca="1">IFERROR(__xludf.DUMMYFUNCTION("IMPORTRANGE(""https://docs.google.com/spreadsheets/d/12pGRKgvn2b31Uz_fjAl3XPzZUM_F2_O-zAHL2XHEPZg/edit?usp=sharing"",""รวมเหนือ!J130"")+IMPORTRANGE(""https://docs.google.com/spreadsheets/d/1c0UfJUA6nE6esVMy0kRcX_PENtt96DMxicQpqi3tips/edit?usp=sharing"","""&amp;"รวมตะวันออกเฉียงเหนือ!J130"")+IMPORTRANGE(""https://docs.google.com/spreadsheets/d/1iNWbYmj0agxPDl_yJgGu1eIremFPVMUuMWUKAjBzvrk/edit?usp=sharing"",""รวมกลาง!J130"")+IMPORTRANGE(""https://docs.google.com/spreadsheets/d/1uenpWDAH2bchvfvsSIjpd4bRU5D1faxJOaE3"&amp;"4GQM5-c/edit?usp=sharing"",""รวมใต้!J130"")"),82)</f>
        <v>82</v>
      </c>
      <c r="K130" s="42">
        <f t="shared" ca="1" si="97"/>
        <v>100</v>
      </c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spans="1:21" ht="18.75" x14ac:dyDescent="0.25">
      <c r="A131" s="152"/>
      <c r="B131" s="153"/>
      <c r="C131" s="153"/>
      <c r="D131" s="163" t="s">
        <v>56</v>
      </c>
      <c r="E131" s="159"/>
      <c r="F131" s="159"/>
      <c r="G131" s="157"/>
      <c r="H131" s="147" t="s">
        <v>35</v>
      </c>
      <c r="I131" s="94">
        <v>155</v>
      </c>
      <c r="J131" s="94">
        <v>165</v>
      </c>
      <c r="K131" s="42">
        <f t="shared" si="97"/>
        <v>106.45161290322581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spans="1:21" ht="18.75" x14ac:dyDescent="0.25">
      <c r="A132" s="152"/>
      <c r="B132" s="153"/>
      <c r="C132" s="153"/>
      <c r="D132" s="163" t="s">
        <v>57</v>
      </c>
      <c r="E132" s="159"/>
      <c r="F132" s="159"/>
      <c r="G132" s="157"/>
      <c r="H132" s="186"/>
      <c r="I132" s="40"/>
      <c r="J132" s="40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</row>
    <row r="133" spans="1:21" ht="12.75" hidden="1" x14ac:dyDescent="0.2">
      <c r="A133" s="172"/>
      <c r="B133" s="173"/>
      <c r="C133" s="173"/>
      <c r="D133" s="59"/>
      <c r="E133" s="59"/>
      <c r="F133" s="59"/>
      <c r="G133" s="60"/>
      <c r="H133" s="187"/>
      <c r="I133" s="61"/>
      <c r="J133" s="61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</row>
    <row r="134" spans="1:21" ht="19.5" x14ac:dyDescent="0.3">
      <c r="A134" s="131" t="s">
        <v>58</v>
      </c>
      <c r="B134" s="132"/>
      <c r="C134" s="177"/>
      <c r="D134" s="132"/>
      <c r="E134" s="132"/>
      <c r="F134" s="132"/>
      <c r="G134" s="132"/>
      <c r="H134" s="132"/>
      <c r="I134" s="178"/>
      <c r="J134" s="178"/>
      <c r="K134" s="179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</row>
    <row r="135" spans="1:21" ht="19.5" x14ac:dyDescent="0.3">
      <c r="A135" s="137"/>
      <c r="B135" s="138" t="s">
        <v>59</v>
      </c>
      <c r="C135" s="181"/>
      <c r="D135" s="139"/>
      <c r="E135" s="24"/>
      <c r="F135" s="24"/>
      <c r="G135" s="24"/>
      <c r="H135" s="24"/>
      <c r="I135" s="188"/>
      <c r="J135" s="29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ht="19.5" x14ac:dyDescent="0.3">
      <c r="A136" s="137"/>
      <c r="B136" s="24"/>
      <c r="C136" s="189" t="s">
        <v>60</v>
      </c>
      <c r="D136" s="139"/>
      <c r="E136" s="24"/>
      <c r="F136" s="24"/>
      <c r="G136" s="27"/>
      <c r="H136" s="140" t="s">
        <v>61</v>
      </c>
      <c r="I136" s="141">
        <f t="shared" ref="I136:J136" ca="1" si="98">I154</f>
        <v>27</v>
      </c>
      <c r="J136" s="141">
        <f t="shared" ca="1" si="98"/>
        <v>5</v>
      </c>
      <c r="K136" s="31">
        <f t="shared" ref="K136:K138" ca="1" si="99">IF(I136&gt;0,J136*100/I136,0)</f>
        <v>18.518518518518519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ht="19.5" x14ac:dyDescent="0.3">
      <c r="A137" s="137"/>
      <c r="B137" s="24"/>
      <c r="C137" s="189" t="s">
        <v>62</v>
      </c>
      <c r="D137" s="139"/>
      <c r="E137" s="24"/>
      <c r="F137" s="24"/>
      <c r="G137" s="27"/>
      <c r="H137" s="140" t="s">
        <v>35</v>
      </c>
      <c r="I137" s="141">
        <f t="shared" ref="I137:J137" ca="1" si="100">I152</f>
        <v>1070</v>
      </c>
      <c r="J137" s="141">
        <f t="shared" ca="1" si="100"/>
        <v>1070</v>
      </c>
      <c r="K137" s="31">
        <f t="shared" ca="1" si="99"/>
        <v>100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ht="19.5" x14ac:dyDescent="0.3">
      <c r="A138" s="137"/>
      <c r="B138" s="24"/>
      <c r="C138" s="181"/>
      <c r="D138" s="139"/>
      <c r="E138" s="24"/>
      <c r="F138" s="24"/>
      <c r="G138" s="27"/>
      <c r="H138" s="140" t="s">
        <v>54</v>
      </c>
      <c r="I138" s="141">
        <f t="shared" ref="I138:J138" ca="1" si="101">I153</f>
        <v>107</v>
      </c>
      <c r="J138" s="141">
        <f t="shared" ca="1" si="101"/>
        <v>107</v>
      </c>
      <c r="K138" s="31">
        <f t="shared" ca="1" si="99"/>
        <v>100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ht="19.5" x14ac:dyDescent="0.3">
      <c r="A139" s="142"/>
      <c r="B139" s="36"/>
      <c r="C139" s="143" t="s">
        <v>18</v>
      </c>
      <c r="D139" s="144" t="s">
        <v>19</v>
      </c>
      <c r="E139" s="36"/>
      <c r="F139" s="36"/>
      <c r="G139" s="38"/>
      <c r="H139" s="145" t="s">
        <v>14</v>
      </c>
      <c r="I139" s="40"/>
      <c r="J139" s="40"/>
      <c r="K139" s="41"/>
      <c r="L139" s="146">
        <f t="shared" ref="L139:N139" ca="1" si="102">L140+L141</f>
        <v>3675200</v>
      </c>
      <c r="M139" s="146">
        <f t="shared" ca="1" si="102"/>
        <v>3675200</v>
      </c>
      <c r="N139" s="146">
        <f t="shared" ca="1" si="102"/>
        <v>3647889.5</v>
      </c>
      <c r="O139" s="146">
        <f t="shared" ref="O139:O147" ca="1" si="103">IF(L139&gt;0,N139*100/L139,0)</f>
        <v>99.256897583804957</v>
      </c>
      <c r="P139" s="146">
        <f t="shared" ref="P139:P147" ca="1" si="104">IF(M139&gt;0,N139*100/M139,0)</f>
        <v>99.256897583804957</v>
      </c>
      <c r="Q139" s="146">
        <f t="shared" ref="Q139:S139" ca="1" si="105">Q140+Q141</f>
        <v>5325200</v>
      </c>
      <c r="R139" s="146">
        <f t="shared" ca="1" si="105"/>
        <v>5455200</v>
      </c>
      <c r="S139" s="146">
        <f t="shared" ca="1" si="105"/>
        <v>2276938.52</v>
      </c>
      <c r="T139" s="146">
        <f t="shared" ref="T139:T147" ca="1" si="106">IF(Q139&gt;0,S139*100/Q139,0)</f>
        <v>42.75780289942162</v>
      </c>
      <c r="U139" s="146">
        <f t="shared" ref="U139:U147" ca="1" si="107">IF(R139&gt;0,S139*100/R139,0)</f>
        <v>41.738864202962311</v>
      </c>
    </row>
    <row r="140" spans="1:21" ht="18.75" x14ac:dyDescent="0.25">
      <c r="A140" s="142"/>
      <c r="B140" s="36"/>
      <c r="C140" s="36"/>
      <c r="D140" s="36"/>
      <c r="E140" s="43" t="s">
        <v>20</v>
      </c>
      <c r="F140" s="36"/>
      <c r="G140" s="38"/>
      <c r="H140" s="147" t="s">
        <v>14</v>
      </c>
      <c r="I140" s="40"/>
      <c r="J140" s="40"/>
      <c r="K140" s="41"/>
      <c r="L140" s="42">
        <f t="shared" ref="L140:N140" ca="1" si="108">L143+L146</f>
        <v>312000</v>
      </c>
      <c r="M140" s="42">
        <f t="shared" ca="1" si="108"/>
        <v>530667.5</v>
      </c>
      <c r="N140" s="42">
        <f t="shared" ca="1" si="108"/>
        <v>492726</v>
      </c>
      <c r="O140" s="42">
        <f t="shared" ca="1" si="103"/>
        <v>157.92500000000001</v>
      </c>
      <c r="P140" s="42">
        <f t="shared" ca="1" si="104"/>
        <v>92.850231076898439</v>
      </c>
      <c r="Q140" s="42">
        <f ca="1">IFERROR(__xludf.DUMMYFUNCTION("IMPORTRANGE(""https://docs.google.com/spreadsheets/d/1ItG2mGa2ceCfYo0BwxsXqNm01IGEUdYcSSLTEv9YCik/edit?usp=sharing"",""เบิกจ่ายกองทุน!CF11"")"),240195)</f>
        <v>240195</v>
      </c>
      <c r="R140" s="42">
        <f ca="1">IFERROR(__xludf.DUMMYFUNCTION("IMPORTRANGE(""https://docs.google.com/spreadsheets/d/1ItG2mGa2ceCfYo0BwxsXqNm01IGEUdYcSSLTEv9YCik/edit?usp=sharing"",""เบิกจ่ายกองทุน!CG11"")"),240195)</f>
        <v>240195</v>
      </c>
      <c r="S140" s="42">
        <f ca="1">IFERROR(__xludf.DUMMYFUNCTION("IMPORTRANGE(""https://docs.google.com/spreadsheets/d/1ItG2mGa2ceCfYo0BwxsXqNm01IGEUdYcSSLTEv9YCik/edit?usp=sharing"",""เบิกจ่ายกองทุน!CH11"")"),101400.02)</f>
        <v>101400.02</v>
      </c>
      <c r="T140" s="42">
        <f t="shared" ca="1" si="106"/>
        <v>42.215708070526034</v>
      </c>
      <c r="U140" s="42">
        <f t="shared" ca="1" si="107"/>
        <v>42.215708070526034</v>
      </c>
    </row>
    <row r="141" spans="1:21" ht="18.75" x14ac:dyDescent="0.25">
      <c r="A141" s="142"/>
      <c r="B141" s="36"/>
      <c r="C141" s="36"/>
      <c r="D141" s="36"/>
      <c r="E141" s="43" t="s">
        <v>21</v>
      </c>
      <c r="F141" s="36"/>
      <c r="G141" s="38"/>
      <c r="H141" s="147" t="s">
        <v>14</v>
      </c>
      <c r="I141" s="40"/>
      <c r="J141" s="40"/>
      <c r="K141" s="41"/>
      <c r="L141" s="42">
        <f t="shared" ref="L141:N141" ca="1" si="109">L144+L147</f>
        <v>3363200</v>
      </c>
      <c r="M141" s="42">
        <f t="shared" ca="1" si="109"/>
        <v>3144532.5</v>
      </c>
      <c r="N141" s="42">
        <f t="shared" ca="1" si="109"/>
        <v>3155163.5</v>
      </c>
      <c r="O141" s="42">
        <f t="shared" ca="1" si="103"/>
        <v>93.814328615604182</v>
      </c>
      <c r="P141" s="42">
        <f t="shared" ca="1" si="104"/>
        <v>100.33807887181958</v>
      </c>
      <c r="Q141" s="42">
        <f ca="1">IFERROR(__xludf.DUMMYFUNCTION("IMPORTRANGE(""https://docs.google.com/spreadsheets/d/12pGRKgvn2b31Uz_fjAl3XPzZUM_F2_O-zAHL2XHEPZg/edit?usp=sharing"",""รวมเหนือ!Q139"")+IMPORTRANGE(""https://docs.google.com/spreadsheets/d/1c0UfJUA6nE6esVMy0kRcX_PENtt96DMxicQpqi3tips/edit?usp=sharing"","""&amp;"รวมตะวันออกเฉียงเหนือ!Q139"")+IMPORTRANGE(""https://docs.google.com/spreadsheets/d/1iNWbYmj0agxPDl_yJgGu1eIremFPVMUuMWUKAjBzvrk/edit?usp=sharing"",""รวมกลาง!Q139"")+IMPORTRANGE(""https://docs.google.com/spreadsheets/d/1uenpWDAH2bchvfvsSIjpd4bRU5D1faxJOaE3"&amp;"4GQM5-c/edit?usp=sharing"",""รวมใต้!Q139"")"),5085005)</f>
        <v>5085005</v>
      </c>
      <c r="R141" s="42">
        <f ca="1">IFERROR(__xludf.DUMMYFUNCTION("IMPORTRANGE(""https://docs.google.com/spreadsheets/d/12pGRKgvn2b31Uz_fjAl3XPzZUM_F2_O-zAHL2XHEPZg/edit?usp=sharing"",""รวมเหนือ!R139"")+IMPORTRANGE(""https://docs.google.com/spreadsheets/d/1c0UfJUA6nE6esVMy0kRcX_PENtt96DMxicQpqi3tips/edit?usp=sharing"","""&amp;"รวมตะวันออกเฉียงเหนือ!R139"")+IMPORTRANGE(""https://docs.google.com/spreadsheets/d/1iNWbYmj0agxPDl_yJgGu1eIremFPVMUuMWUKAjBzvrk/edit?usp=sharing"",""รวมกลาง!R139"")+IMPORTRANGE(""https://docs.google.com/spreadsheets/d/1uenpWDAH2bchvfvsSIjpd4bRU5D1faxJOaE3"&amp;"4GQM5-c/edit?usp=sharing"",""รวมใต้!R139"")"),5215005)</f>
        <v>5215005</v>
      </c>
      <c r="S141" s="42">
        <f ca="1">IFERROR(__xludf.DUMMYFUNCTION("IMPORTRANGE(""https://docs.google.com/spreadsheets/d/12pGRKgvn2b31Uz_fjAl3XPzZUM_F2_O-zAHL2XHEPZg/edit?usp=sharing"",""รวมเหนือ!S139"")+IMPORTRANGE(""https://docs.google.com/spreadsheets/d/1c0UfJUA6nE6esVMy0kRcX_PENtt96DMxicQpqi3tips/edit?usp=sharing"","""&amp;"รวมตะวันออกเฉียงเหนือ!S139"")+IMPORTRANGE(""https://docs.google.com/spreadsheets/d/1iNWbYmj0agxPDl_yJgGu1eIremFPVMUuMWUKAjBzvrk/edit?usp=sharing"",""รวมกลาง!S139"")+IMPORTRANGE(""https://docs.google.com/spreadsheets/d/1uenpWDAH2bchvfvsSIjpd4bRU5D1faxJOaE3"&amp;"4GQM5-c/edit?usp=sharing"",""รวมใต้!S139"")"),2175538.5)</f>
        <v>2175538.5</v>
      </c>
      <c r="T141" s="42">
        <f t="shared" ca="1" si="106"/>
        <v>42.783409259184602</v>
      </c>
      <c r="U141" s="42">
        <f t="shared" ca="1" si="107"/>
        <v>41.716901517831715</v>
      </c>
    </row>
    <row r="142" spans="1:21" ht="18.75" hidden="1" x14ac:dyDescent="0.25">
      <c r="A142" s="142"/>
      <c r="B142" s="36"/>
      <c r="C142" s="36"/>
      <c r="D142" s="37" t="s">
        <v>22</v>
      </c>
      <c r="E142" s="36"/>
      <c r="F142" s="36"/>
      <c r="G142" s="38"/>
      <c r="H142" s="148" t="s">
        <v>14</v>
      </c>
      <c r="I142" s="149"/>
      <c r="J142" s="149"/>
      <c r="K142" s="150"/>
      <c r="L142" s="42">
        <f t="shared" ref="L142:N142" ca="1" si="110">L143+L144</f>
        <v>3675200</v>
      </c>
      <c r="M142" s="42">
        <f t="shared" ca="1" si="110"/>
        <v>3675200</v>
      </c>
      <c r="N142" s="42">
        <f t="shared" ca="1" si="110"/>
        <v>3647889.5</v>
      </c>
      <c r="O142" s="42">
        <f t="shared" ca="1" si="103"/>
        <v>99.256897583804957</v>
      </c>
      <c r="P142" s="42">
        <f t="shared" ca="1" si="104"/>
        <v>99.256897583804957</v>
      </c>
      <c r="Q142" s="42">
        <f t="shared" ref="Q142:S142" si="111">Q143+Q144</f>
        <v>0</v>
      </c>
      <c r="R142" s="42">
        <f t="shared" si="111"/>
        <v>0</v>
      </c>
      <c r="S142" s="42">
        <f t="shared" si="111"/>
        <v>0</v>
      </c>
      <c r="T142" s="42">
        <f t="shared" si="106"/>
        <v>0</v>
      </c>
      <c r="U142" s="42">
        <f t="shared" si="107"/>
        <v>0</v>
      </c>
    </row>
    <row r="143" spans="1:21" ht="18.75" hidden="1" x14ac:dyDescent="0.25">
      <c r="A143" s="142"/>
      <c r="B143" s="36"/>
      <c r="C143" s="36"/>
      <c r="D143" s="36"/>
      <c r="E143" s="43" t="s">
        <v>36</v>
      </c>
      <c r="F143" s="36"/>
      <c r="G143" s="38"/>
      <c r="H143" s="148" t="s">
        <v>14</v>
      </c>
      <c r="I143" s="149"/>
      <c r="J143" s="149"/>
      <c r="K143" s="150"/>
      <c r="L143" s="42">
        <f ca="1">IFERROR(__xludf.DUMMYFUNCTION("IMPORTRANGE(""https://docs.google.com/spreadsheets/d/1-uDff_7J0KD5mKrp0Vvzr7lt3OU09vwQwhkpOPPYv2Y/edit?usp=sharing"",""งบพรบ!BQ9"")"),312000)</f>
        <v>312000</v>
      </c>
      <c r="M143" s="42">
        <f ca="1">IFERROR(__xludf.DUMMYFUNCTION("IMPORTRANGE(""https://docs.google.com/spreadsheets/d/1-uDff_7J0KD5mKrp0Vvzr7lt3OU09vwQwhkpOPPYv2Y/edit?usp=sharing"",""งบพรบ!BV9"")"),530667.5)</f>
        <v>530667.5</v>
      </c>
      <c r="N143" s="42">
        <f ca="1">IFERROR(__xludf.DUMMYFUNCTION("IMPORTRANGE(""https://docs.google.com/spreadsheets/d/1-uDff_7J0KD5mKrp0Vvzr7lt3OU09vwQwhkpOPPYv2Y/edit?usp=sharing"",""งบพรบ!BX9"")"),492726)</f>
        <v>492726</v>
      </c>
      <c r="O143" s="42">
        <f t="shared" ca="1" si="103"/>
        <v>157.92500000000001</v>
      </c>
      <c r="P143" s="42">
        <f t="shared" ca="1" si="104"/>
        <v>92.850231076898439</v>
      </c>
      <c r="Q143" s="42">
        <v>0</v>
      </c>
      <c r="R143" s="42">
        <v>0</v>
      </c>
      <c r="S143" s="42">
        <v>0</v>
      </c>
      <c r="T143" s="42">
        <f t="shared" si="106"/>
        <v>0</v>
      </c>
      <c r="U143" s="42">
        <f t="shared" si="107"/>
        <v>0</v>
      </c>
    </row>
    <row r="144" spans="1:21" ht="18.75" hidden="1" x14ac:dyDescent="0.25">
      <c r="A144" s="142"/>
      <c r="B144" s="36"/>
      <c r="C144" s="36"/>
      <c r="D144" s="36"/>
      <c r="E144" s="43" t="s">
        <v>37</v>
      </c>
      <c r="F144" s="36"/>
      <c r="G144" s="38"/>
      <c r="H144" s="148" t="s">
        <v>14</v>
      </c>
      <c r="I144" s="149"/>
      <c r="J144" s="149"/>
      <c r="K144" s="150"/>
      <c r="L144" s="42">
        <f ca="1">IFERROR(__xludf.DUMMYFUNCTION("IMPORTRANGE(""https://docs.google.com/spreadsheets/d/12pGRKgvn2b31Uz_fjAl3XPzZUM_F2_O-zAHL2XHEPZg/edit?usp=sharing"",""รวมเหนือ!L144"")+IMPORTRANGE(""https://docs.google.com/spreadsheets/d/1c0UfJUA6nE6esVMy0kRcX_PENtt96DMxicQpqi3tips/edit?usp=sharing"","""&amp;"รวมตะวันออกเฉียงเหนือ!L144"")+IMPORTRANGE(""https://docs.google.com/spreadsheets/d/1iNWbYmj0agxPDl_yJgGu1eIremFPVMUuMWUKAjBzvrk/edit?usp=sharing"",""รวมกลาง!L144"")+IMPORTRANGE(""https://docs.google.com/spreadsheets/d/1uenpWDAH2bchvfvsSIjpd4bRU5D1faxJOaE3"&amp;"4GQM5-c/edit?usp=sharing"",""รวมใต้!L144"")"),3363200)</f>
        <v>3363200</v>
      </c>
      <c r="M144" s="42">
        <f ca="1">IFERROR(__xludf.DUMMYFUNCTION("IMPORTRANGE(""https://docs.google.com/spreadsheets/d/12pGRKgvn2b31Uz_fjAl3XPzZUM_F2_O-zAHL2XHEPZg/edit?usp=sharing"",""รวมเหนือ!M144"")+IMPORTRANGE(""https://docs.google.com/spreadsheets/d/1c0UfJUA6nE6esVMy0kRcX_PENtt96DMxicQpqi3tips/edit?usp=sharing"","""&amp;"รวมตะวันออกเฉียงเหนือ!M144"")+IMPORTRANGE(""https://docs.google.com/spreadsheets/d/1iNWbYmj0agxPDl_yJgGu1eIremFPVMUuMWUKAjBzvrk/edit?usp=sharing"",""รวมกลาง!M144"")+IMPORTRANGE(""https://docs.google.com/spreadsheets/d/1uenpWDAH2bchvfvsSIjpd4bRU5D1faxJOaE3"&amp;"4GQM5-c/edit?usp=sharing"",""รวมใต้!M144"")"),3144532.5)</f>
        <v>3144532.5</v>
      </c>
      <c r="N144" s="42">
        <f ca="1">IFERROR(__xludf.DUMMYFUNCTION("IMPORTRANGE(""https://docs.google.com/spreadsheets/d/12pGRKgvn2b31Uz_fjAl3XPzZUM_F2_O-zAHL2XHEPZg/edit?usp=sharing"",""รวมเหนือ!N144"")+IMPORTRANGE(""https://docs.google.com/spreadsheets/d/1c0UfJUA6nE6esVMy0kRcX_PENtt96DMxicQpqi3tips/edit?usp=sharing"","""&amp;"รวมตะวันออกเฉียงเหนือ!N144"")+IMPORTRANGE(""https://docs.google.com/spreadsheets/d/1iNWbYmj0agxPDl_yJgGu1eIremFPVMUuMWUKAjBzvrk/edit?usp=sharing"",""รวมกลาง!N144"")+IMPORTRANGE(""https://docs.google.com/spreadsheets/d/1uenpWDAH2bchvfvsSIjpd4bRU5D1faxJOaE3"&amp;"4GQM5-c/edit?usp=sharing"",""รวมใต้!N144"")"),3155163.5)</f>
        <v>3155163.5</v>
      </c>
      <c r="O144" s="42">
        <f t="shared" ca="1" si="103"/>
        <v>93.814328615604182</v>
      </c>
      <c r="P144" s="42">
        <f t="shared" ca="1" si="104"/>
        <v>100.33807887181958</v>
      </c>
      <c r="Q144" s="42">
        <v>0</v>
      </c>
      <c r="R144" s="42">
        <v>0</v>
      </c>
      <c r="S144" s="42">
        <v>0</v>
      </c>
      <c r="T144" s="42">
        <f t="shared" si="106"/>
        <v>0</v>
      </c>
      <c r="U144" s="42">
        <f t="shared" si="107"/>
        <v>0</v>
      </c>
    </row>
    <row r="145" spans="1:21" ht="18.75" hidden="1" x14ac:dyDescent="0.25">
      <c r="A145" s="142"/>
      <c r="B145" s="36"/>
      <c r="C145" s="36"/>
      <c r="D145" s="37" t="s">
        <v>23</v>
      </c>
      <c r="E145" s="36"/>
      <c r="F145" s="36"/>
      <c r="G145" s="38"/>
      <c r="H145" s="151" t="s">
        <v>14</v>
      </c>
      <c r="I145" s="149"/>
      <c r="J145" s="149"/>
      <c r="K145" s="150"/>
      <c r="L145" s="42">
        <f t="shared" ref="L145:N145" ca="1" si="112">L146+L147</f>
        <v>0</v>
      </c>
      <c r="M145" s="42">
        <f t="shared" ca="1" si="112"/>
        <v>0</v>
      </c>
      <c r="N145" s="42">
        <f t="shared" ca="1" si="112"/>
        <v>0</v>
      </c>
      <c r="O145" s="42">
        <f t="shared" ca="1" si="103"/>
        <v>0</v>
      </c>
      <c r="P145" s="42">
        <f t="shared" ca="1" si="104"/>
        <v>0</v>
      </c>
      <c r="Q145" s="42">
        <f t="shared" ref="Q145:S145" ca="1" si="113">Q146+Q147</f>
        <v>0</v>
      </c>
      <c r="R145" s="42">
        <f t="shared" ca="1" si="113"/>
        <v>0</v>
      </c>
      <c r="S145" s="42">
        <f t="shared" ca="1" si="113"/>
        <v>0</v>
      </c>
      <c r="T145" s="42">
        <f t="shared" ca="1" si="106"/>
        <v>0</v>
      </c>
      <c r="U145" s="42">
        <f t="shared" ca="1" si="107"/>
        <v>0</v>
      </c>
    </row>
    <row r="146" spans="1:21" ht="18.75" hidden="1" x14ac:dyDescent="0.25">
      <c r="A146" s="142"/>
      <c r="B146" s="36"/>
      <c r="C146" s="36"/>
      <c r="D146" s="36"/>
      <c r="E146" s="43" t="s">
        <v>20</v>
      </c>
      <c r="F146" s="36"/>
      <c r="G146" s="38"/>
      <c r="H146" s="148" t="s">
        <v>14</v>
      </c>
      <c r="I146" s="149"/>
      <c r="J146" s="149"/>
      <c r="K146" s="150"/>
      <c r="L146" s="42">
        <f ca="1">IFERROR(__xludf.DUMMYFUNCTION("IMPORTRANGE(""https://docs.google.com/spreadsheets/d/12pGRKgvn2b31Uz_fjAl3XPzZUM_F2_O-zAHL2XHEPZg/edit?usp=sharing"",""รวมเหนือ!L146"")+IMPORTRANGE(""https://docs.google.com/spreadsheets/d/1c0UfJUA6nE6esVMy0kRcX_PENtt96DMxicQpqi3tips/edit?usp=sharing"","""&amp;"รวมตะวันออกเฉียงเหนือ!L146"")+IMPORTRANGE(""https://docs.google.com/spreadsheets/d/1iNWbYmj0agxPDl_yJgGu1eIremFPVMUuMWUKAjBzvrk/edit?usp=sharing"",""รวมกลาง!L146"")+IMPORTRANGE(""https://docs.google.com/spreadsheets/d/1uenpWDAH2bchvfvsSIjpd4bRU5D1faxJOaE3"&amp;"4GQM5-c/edit?usp=sharing"",""รวมใต้!L146"")"),0)</f>
        <v>0</v>
      </c>
      <c r="M146" s="42">
        <f ca="1">IFERROR(__xludf.DUMMYFUNCTION("IMPORTRANGE(""https://docs.google.com/spreadsheets/d/12pGRKgvn2b31Uz_fjAl3XPzZUM_F2_O-zAHL2XHEPZg/edit?usp=sharing"",""รวมเหนือ!M146"")+IMPORTRANGE(""https://docs.google.com/spreadsheets/d/1c0UfJUA6nE6esVMy0kRcX_PENtt96DMxicQpqi3tips/edit?usp=sharing"","""&amp;"รวมตะวันออกเฉียงเหนือ!M146"")+IMPORTRANGE(""https://docs.google.com/spreadsheets/d/1iNWbYmj0agxPDl_yJgGu1eIremFPVMUuMWUKAjBzvrk/edit?usp=sharing"",""รวมกลาง!M146"")+IMPORTRANGE(""https://docs.google.com/spreadsheets/d/1uenpWDAH2bchvfvsSIjpd4bRU5D1faxJOaE3"&amp;"4GQM5-c/edit?usp=sharing"",""รวมใต้!M146"")"),0)</f>
        <v>0</v>
      </c>
      <c r="N146" s="42">
        <f ca="1">IFERROR(__xludf.DUMMYFUNCTION("IMPORTRANGE(""https://docs.google.com/spreadsheets/d/12pGRKgvn2b31Uz_fjAl3XPzZUM_F2_O-zAHL2XHEPZg/edit?usp=sharing"",""รวมเหนือ!N146"")+IMPORTRANGE(""https://docs.google.com/spreadsheets/d/1c0UfJUA6nE6esVMy0kRcX_PENtt96DMxicQpqi3tips/edit?usp=sharing"","""&amp;"รวมตะวันออกเฉียงเหนือ!N146"")+IMPORTRANGE(""https://docs.google.com/spreadsheets/d/1iNWbYmj0agxPDl_yJgGu1eIremFPVMUuMWUKAjBzvrk/edit?usp=sharing"",""รวมกลาง!N146"")+IMPORTRANGE(""https://docs.google.com/spreadsheets/d/1uenpWDAH2bchvfvsSIjpd4bRU5D1faxJOaE3"&amp;"4GQM5-c/edit?usp=sharing"",""รวมใต้!N146"")"),0)</f>
        <v>0</v>
      </c>
      <c r="O146" s="42">
        <f t="shared" ca="1" si="103"/>
        <v>0</v>
      </c>
      <c r="P146" s="42">
        <f t="shared" ca="1" si="104"/>
        <v>0</v>
      </c>
      <c r="Q146" s="42">
        <f ca="1">IFERROR(__xludf.DUMMYFUNCTION("IMPORTRANGE(""https://docs.google.com/spreadsheets/d/1ItG2mGa2ceCfYo0BwxsXqNm01IGEUdYcSSLTEv9YCik/edit?usp=sharing"",""เบิกจ่ายกองทุน!CI11"")"),0)</f>
        <v>0</v>
      </c>
      <c r="R146" s="42">
        <f ca="1">IFERROR(__xludf.DUMMYFUNCTION("IMPORTRANGE(""https://docs.google.com/spreadsheets/d/1ItG2mGa2ceCfYo0BwxsXqNm01IGEUdYcSSLTEv9YCik/edit?usp=sharing"",""เบิกจ่ายกองทุน!CJ11"")"),0)</f>
        <v>0</v>
      </c>
      <c r="S146" s="42">
        <f ca="1">IFERROR(__xludf.DUMMYFUNCTION("IMPORTRANGE(""https://docs.google.com/spreadsheets/d/1ItG2mGa2ceCfYo0BwxsXqNm01IGEUdYcSSLTEv9YCik/edit?usp=sharing"",""เบิกจ่ายกองทุน!CK11"")"),0)</f>
        <v>0</v>
      </c>
      <c r="T146" s="42">
        <f t="shared" ca="1" si="106"/>
        <v>0</v>
      </c>
      <c r="U146" s="42">
        <f t="shared" ca="1" si="107"/>
        <v>0</v>
      </c>
    </row>
    <row r="147" spans="1:21" ht="18.75" hidden="1" x14ac:dyDescent="0.25">
      <c r="A147" s="142"/>
      <c r="B147" s="36"/>
      <c r="C147" s="36"/>
      <c r="D147" s="36"/>
      <c r="E147" s="43" t="s">
        <v>21</v>
      </c>
      <c r="F147" s="36"/>
      <c r="G147" s="38"/>
      <c r="H147" s="151" t="s">
        <v>14</v>
      </c>
      <c r="I147" s="149"/>
      <c r="J147" s="149"/>
      <c r="K147" s="150"/>
      <c r="L147" s="42">
        <f ca="1">IFERROR(__xludf.DUMMYFUNCTION("IMPORTRANGE(""https://docs.google.com/spreadsheets/d/12pGRKgvn2b31Uz_fjAl3XPzZUM_F2_O-zAHL2XHEPZg/edit?usp=sharing"",""รวมเหนือ!L147"")+IMPORTRANGE(""https://docs.google.com/spreadsheets/d/1c0UfJUA6nE6esVMy0kRcX_PENtt96DMxicQpqi3tips/edit?usp=sharing"","""&amp;"รวมตะวันออกเฉียงเหนือ!L147"")+IMPORTRANGE(""https://docs.google.com/spreadsheets/d/1iNWbYmj0agxPDl_yJgGu1eIremFPVMUuMWUKAjBzvrk/edit?usp=sharing"",""รวมกลาง!L147"")+IMPORTRANGE(""https://docs.google.com/spreadsheets/d/1uenpWDAH2bchvfvsSIjpd4bRU5D1faxJOaE3"&amp;"4GQM5-c/edit?usp=sharing"",""รวมใต้!L147"")"),0)</f>
        <v>0</v>
      </c>
      <c r="M147" s="42">
        <f ca="1">IFERROR(__xludf.DUMMYFUNCTION("IMPORTRANGE(""https://docs.google.com/spreadsheets/d/12pGRKgvn2b31Uz_fjAl3XPzZUM_F2_O-zAHL2XHEPZg/edit?usp=sharing"",""รวมเหนือ!M147"")+IMPORTRANGE(""https://docs.google.com/spreadsheets/d/1c0UfJUA6nE6esVMy0kRcX_PENtt96DMxicQpqi3tips/edit?usp=sharing"","""&amp;"รวมตะวันออกเฉียงเหนือ!M147"")+IMPORTRANGE(""https://docs.google.com/spreadsheets/d/1iNWbYmj0agxPDl_yJgGu1eIremFPVMUuMWUKAjBzvrk/edit?usp=sharing"",""รวมกลาง!M147"")+IMPORTRANGE(""https://docs.google.com/spreadsheets/d/1uenpWDAH2bchvfvsSIjpd4bRU5D1faxJOaE3"&amp;"4GQM5-c/edit?usp=sharing"",""รวมใต้!M147"")"),0)</f>
        <v>0</v>
      </c>
      <c r="N147" s="42">
        <f ca="1">IFERROR(__xludf.DUMMYFUNCTION("IMPORTRANGE(""https://docs.google.com/spreadsheets/d/12pGRKgvn2b31Uz_fjAl3XPzZUM_F2_O-zAHL2XHEPZg/edit?usp=sharing"",""รวมเหนือ!N147"")+IMPORTRANGE(""https://docs.google.com/spreadsheets/d/1c0UfJUA6nE6esVMy0kRcX_PENtt96DMxicQpqi3tips/edit?usp=sharing"","""&amp;"รวมตะวันออกเฉียงเหนือ!N147"")+IMPORTRANGE(""https://docs.google.com/spreadsheets/d/1iNWbYmj0agxPDl_yJgGu1eIremFPVMUuMWUKAjBzvrk/edit?usp=sharing"",""รวมกลาง!N147"")+IMPORTRANGE(""https://docs.google.com/spreadsheets/d/1uenpWDAH2bchvfvsSIjpd4bRU5D1faxJOaE3"&amp;"4GQM5-c/edit?usp=sharing"",""รวมใต้!N147"")"),0)</f>
        <v>0</v>
      </c>
      <c r="O147" s="42">
        <f t="shared" ca="1" si="103"/>
        <v>0</v>
      </c>
      <c r="P147" s="42">
        <f t="shared" ca="1" si="104"/>
        <v>0</v>
      </c>
      <c r="Q147" s="42">
        <f ca="1">IFERROR(__xludf.DUMMYFUNCTION("IMPORTRANGE(""https://docs.google.com/spreadsheets/d/12pGRKgvn2b31Uz_fjAl3XPzZUM_F2_O-zAHL2XHEPZg/edit?usp=sharing"",""รวมเหนือ!Q147"")+IMPORTRANGE(""https://docs.google.com/spreadsheets/d/1c0UfJUA6nE6esVMy0kRcX_PENtt96DMxicQpqi3tips/edit?usp=sharing"","""&amp;"รวมตะวันออกเฉียงเหนือ!Q147"")+IMPORTRANGE(""https://docs.google.com/spreadsheets/d/1iNWbYmj0agxPDl_yJgGu1eIremFPVMUuMWUKAjBzvrk/edit?usp=sharing"",""รวมกลาง!Q147"")+IMPORTRANGE(""https://docs.google.com/spreadsheets/d/1uenpWDAH2bchvfvsSIjpd4bRU5D1faxJOaE3"&amp;"4GQM5-c/edit?usp=sharing"",""รวมใต้!Q147"")"),0)</f>
        <v>0</v>
      </c>
      <c r="R147" s="42">
        <f ca="1">IFERROR(__xludf.DUMMYFUNCTION("IMPORTRANGE(""https://docs.google.com/spreadsheets/d/12pGRKgvn2b31Uz_fjAl3XPzZUM_F2_O-zAHL2XHEPZg/edit?usp=sharing"",""รวมเหนือ!R147"")+IMPORTRANGE(""https://docs.google.com/spreadsheets/d/1c0UfJUA6nE6esVMy0kRcX_PENtt96DMxicQpqi3tips/edit?usp=sharing"","""&amp;"รวมตะวันออกเฉียงเหนือ!R147"")+IMPORTRANGE(""https://docs.google.com/spreadsheets/d/1iNWbYmj0agxPDl_yJgGu1eIremFPVMUuMWUKAjBzvrk/edit?usp=sharing"",""รวมกลาง!R147"")+IMPORTRANGE(""https://docs.google.com/spreadsheets/d/1uenpWDAH2bchvfvsSIjpd4bRU5D1faxJOaE3"&amp;"4GQM5-c/edit?usp=sharing"",""รวมใต้!R147"")"),0)</f>
        <v>0</v>
      </c>
      <c r="S147" s="42">
        <f ca="1">IFERROR(__xludf.DUMMYFUNCTION("IMPORTRANGE(""https://docs.google.com/spreadsheets/d/12pGRKgvn2b31Uz_fjAl3XPzZUM_F2_O-zAHL2XHEPZg/edit?usp=sharing"",""รวมเหนือ!S147"")+IMPORTRANGE(""https://docs.google.com/spreadsheets/d/1c0UfJUA6nE6esVMy0kRcX_PENtt96DMxicQpqi3tips/edit?usp=sharing"","""&amp;"รวมตะวันออกเฉียงเหนือ!S147"")+IMPORTRANGE(""https://docs.google.com/spreadsheets/d/1iNWbYmj0agxPDl_yJgGu1eIremFPVMUuMWUKAjBzvrk/edit?usp=sharing"",""รวมกลาง!S147"")+IMPORTRANGE(""https://docs.google.com/spreadsheets/d/1uenpWDAH2bchvfvsSIjpd4bRU5D1faxJOaE3"&amp;"4GQM5-c/edit?usp=sharing"",""รวมใต้!S147"")"),0)</f>
        <v>0</v>
      </c>
      <c r="T147" s="42">
        <f t="shared" ca="1" si="106"/>
        <v>0</v>
      </c>
      <c r="U147" s="42">
        <f t="shared" ca="1" si="107"/>
        <v>0</v>
      </c>
    </row>
    <row r="148" spans="1:21" ht="19.5" x14ac:dyDescent="0.3">
      <c r="A148" s="152"/>
      <c r="B148" s="153"/>
      <c r="C148" s="143" t="s">
        <v>18</v>
      </c>
      <c r="D148" s="154" t="s">
        <v>38</v>
      </c>
      <c r="E148" s="155"/>
      <c r="F148" s="155"/>
      <c r="G148" s="156"/>
      <c r="H148" s="185"/>
      <c r="I148" s="40"/>
      <c r="J148" s="40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</row>
    <row r="149" spans="1:21" ht="18.75" x14ac:dyDescent="0.25">
      <c r="A149" s="142"/>
      <c r="B149" s="36"/>
      <c r="C149" s="36"/>
      <c r="D149" s="43" t="s">
        <v>63</v>
      </c>
      <c r="E149" s="36"/>
      <c r="F149" s="36"/>
      <c r="G149" s="38"/>
      <c r="H149" s="185"/>
      <c r="I149" s="40"/>
      <c r="J149" s="176">
        <f ca="1">IFERROR(__xludf.DUMMYFUNCTION("IMPORTRANGE(""https://docs.google.com/spreadsheets/d/12pGRKgvn2b31Uz_fjAl3XPzZUM_F2_O-zAHL2XHEPZg/edit?usp=sharing"",""รวมเหนือ!J149"")+IMPORTRANGE(""https://docs.google.com/spreadsheets/d/1c0UfJUA6nE6esVMy0kRcX_PENtt96DMxicQpqi3tips/edit?usp=sharing"","""&amp;"รวมตะวันออกเฉียงเหนือ!J149"")+IMPORTRANGE(""https://docs.google.com/spreadsheets/d/1iNWbYmj0agxPDl_yJgGu1eIremFPVMUuMWUKAjBzvrk/edit?usp=sharing"",""รวมกลาง!J149"")+IMPORTRANGE(""https://docs.google.com/spreadsheets/d/1uenpWDAH2bchvfvsSIjpd4bRU5D1faxJOaE3"&amp;"4GQM5-c/edit?usp=sharing"",""รวมใต้!J149"")"),1)</f>
        <v>1</v>
      </c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</row>
    <row r="150" spans="1:21" ht="19.5" x14ac:dyDescent="0.3">
      <c r="A150" s="142"/>
      <c r="B150" s="36"/>
      <c r="C150" s="36"/>
      <c r="D150" s="159"/>
      <c r="E150" s="190" t="s">
        <v>64</v>
      </c>
      <c r="F150" s="36"/>
      <c r="G150" s="38"/>
      <c r="H150" s="151" t="s">
        <v>35</v>
      </c>
      <c r="I150" s="176">
        <f ca="1">IFERROR(__xludf.DUMMYFUNCTION("IMPORTRANGE(""https://docs.google.com/spreadsheets/d/12pGRKgvn2b31Uz_fjAl3XPzZUM_F2_O-zAHL2XHEPZg/edit?usp=sharing"",""รวมเหนือ!I150"")+IMPORTRANGE(""https://docs.google.com/spreadsheets/d/1c0UfJUA6nE6esVMy0kRcX_PENtt96DMxicQpqi3tips/edit?usp=sharing"","""&amp;"รวมตะวันออกเฉียงเหนือ!I150"")+IMPORTRANGE(""https://docs.google.com/spreadsheets/d/1iNWbYmj0agxPDl_yJgGu1eIremFPVMUuMWUKAjBzvrk/edit?usp=sharing"",""รวมกลาง!I150"")+IMPORTRANGE(""https://docs.google.com/spreadsheets/d/1uenpWDAH2bchvfvsSIjpd4bRU5D1faxJOaE3"&amp;"4GQM5-c/edit?usp=sharing"",""รวมใต้!I150"")"),270)</f>
        <v>270</v>
      </c>
      <c r="J150" s="176">
        <f ca="1">IFERROR(__xludf.DUMMYFUNCTION("IMPORTRANGE(""https://docs.google.com/spreadsheets/d/12pGRKgvn2b31Uz_fjAl3XPzZUM_F2_O-zAHL2XHEPZg/edit?usp=sharing"",""รวมเหนือ!J150"")+IMPORTRANGE(""https://docs.google.com/spreadsheets/d/1c0UfJUA6nE6esVMy0kRcX_PENtt96DMxicQpqi3tips/edit?usp=sharing"","""&amp;"รวมตะวันออกเฉียงเหนือ!J150"")+IMPORTRANGE(""https://docs.google.com/spreadsheets/d/1iNWbYmj0agxPDl_yJgGu1eIremFPVMUuMWUKAjBzvrk/edit?usp=sharing"",""รวมกลาง!J150"")+IMPORTRANGE(""https://docs.google.com/spreadsheets/d/1uenpWDAH2bchvfvsSIjpd4bRU5D1faxJOaE3"&amp;"4GQM5-c/edit?usp=sharing"",""รวมใต้!J150"")"),270)</f>
        <v>270</v>
      </c>
      <c r="K150" s="42">
        <f t="shared" ref="K150:K154" ca="1" si="114">IF(I150&gt;0,J150*100/I150,0)</f>
        <v>100</v>
      </c>
      <c r="L150" s="41"/>
      <c r="M150" s="41"/>
      <c r="N150" s="41"/>
      <c r="O150" s="41"/>
      <c r="P150" s="41"/>
      <c r="Q150" s="41"/>
      <c r="R150" s="41"/>
      <c r="S150" s="41"/>
      <c r="T150" s="41"/>
      <c r="U150" s="41"/>
    </row>
    <row r="151" spans="1:21" ht="18.75" x14ac:dyDescent="0.25">
      <c r="A151" s="142"/>
      <c r="B151" s="36"/>
      <c r="C151" s="36"/>
      <c r="D151" s="159"/>
      <c r="E151" s="36"/>
      <c r="F151" s="36"/>
      <c r="G151" s="38"/>
      <c r="H151" s="151" t="s">
        <v>54</v>
      </c>
      <c r="I151" s="176">
        <f ca="1">IFERROR(__xludf.DUMMYFUNCTION("IMPORTRANGE(""https://docs.google.com/spreadsheets/d/12pGRKgvn2b31Uz_fjAl3XPzZUM_F2_O-zAHL2XHEPZg/edit?usp=sharing"",""รวมเหนือ!I151"")+IMPORTRANGE(""https://docs.google.com/spreadsheets/d/1c0UfJUA6nE6esVMy0kRcX_PENtt96DMxicQpqi3tips/edit?usp=sharing"","""&amp;"รวมตะวันออกเฉียงเหนือ!I151"")+IMPORTRANGE(""https://docs.google.com/spreadsheets/d/1iNWbYmj0agxPDl_yJgGu1eIremFPVMUuMWUKAjBzvrk/edit?usp=sharing"",""รวมกลาง!I151"")+IMPORTRANGE(""https://docs.google.com/spreadsheets/d/1uenpWDAH2bchvfvsSIjpd4bRU5D1faxJOaE3"&amp;"4GQM5-c/edit?usp=sharing"",""รวมใต้!I151"")"),27)</f>
        <v>27</v>
      </c>
      <c r="J151" s="176">
        <f ca="1">IFERROR(__xludf.DUMMYFUNCTION("IMPORTRANGE(""https://docs.google.com/spreadsheets/d/12pGRKgvn2b31Uz_fjAl3XPzZUM_F2_O-zAHL2XHEPZg/edit?usp=sharing"",""รวมเหนือ!J151"")+IMPORTRANGE(""https://docs.google.com/spreadsheets/d/1c0UfJUA6nE6esVMy0kRcX_PENtt96DMxicQpqi3tips/edit?usp=sharing"","""&amp;"รวมตะวันออกเฉียงเหนือ!J151"")+IMPORTRANGE(""https://docs.google.com/spreadsheets/d/1iNWbYmj0agxPDl_yJgGu1eIremFPVMUuMWUKAjBzvrk/edit?usp=sharing"",""รวมกลาง!J151"")+IMPORTRANGE(""https://docs.google.com/spreadsheets/d/1uenpWDAH2bchvfvsSIjpd4bRU5D1faxJOaE3"&amp;"4GQM5-c/edit?usp=sharing"",""รวมใต้!J151"")"),27)</f>
        <v>27</v>
      </c>
      <c r="K151" s="42">
        <f t="shared" ca="1" si="114"/>
        <v>100</v>
      </c>
      <c r="L151" s="41"/>
      <c r="M151" s="41"/>
      <c r="N151" s="41"/>
      <c r="O151" s="41"/>
      <c r="P151" s="41"/>
      <c r="Q151" s="41"/>
      <c r="R151" s="41"/>
      <c r="S151" s="41"/>
      <c r="T151" s="41"/>
      <c r="U151" s="41"/>
    </row>
    <row r="152" spans="1:21" ht="19.5" x14ac:dyDescent="0.3">
      <c r="A152" s="142"/>
      <c r="B152" s="36"/>
      <c r="C152" s="36"/>
      <c r="D152" s="159"/>
      <c r="E152" s="190" t="s">
        <v>65</v>
      </c>
      <c r="F152" s="36"/>
      <c r="G152" s="38"/>
      <c r="H152" s="151" t="s">
        <v>35</v>
      </c>
      <c r="I152" s="176">
        <f ca="1">IFERROR(__xludf.DUMMYFUNCTION("IMPORTRANGE(""https://docs.google.com/spreadsheets/d/12pGRKgvn2b31Uz_fjAl3XPzZUM_F2_O-zAHL2XHEPZg/edit?usp=sharing"",""รวมเหนือ!I152"")+IMPORTRANGE(""https://docs.google.com/spreadsheets/d/1c0UfJUA6nE6esVMy0kRcX_PENtt96DMxicQpqi3tips/edit?usp=sharing"","""&amp;"รวมตะวันออกเฉียงเหนือ!I152"")+IMPORTRANGE(""https://docs.google.com/spreadsheets/d/1iNWbYmj0agxPDl_yJgGu1eIremFPVMUuMWUKAjBzvrk/edit?usp=sharing"",""รวมกลาง!I152"")+IMPORTRANGE(""https://docs.google.com/spreadsheets/d/1uenpWDAH2bchvfvsSIjpd4bRU5D1faxJOaE3"&amp;"4GQM5-c/edit?usp=sharing"",""รวมใต้!I152"")"),1070)</f>
        <v>1070</v>
      </c>
      <c r="J152" s="176">
        <f ca="1">IFERROR(__xludf.DUMMYFUNCTION("IMPORTRANGE(""https://docs.google.com/spreadsheets/d/12pGRKgvn2b31Uz_fjAl3XPzZUM_F2_O-zAHL2XHEPZg/edit?usp=sharing"",""รวมเหนือ!J152"")+IMPORTRANGE(""https://docs.google.com/spreadsheets/d/1c0UfJUA6nE6esVMy0kRcX_PENtt96DMxicQpqi3tips/edit?usp=sharing"","""&amp;"รวมตะวันออกเฉียงเหนือ!J152"")+IMPORTRANGE(""https://docs.google.com/spreadsheets/d/1iNWbYmj0agxPDl_yJgGu1eIremFPVMUuMWUKAjBzvrk/edit?usp=sharing"",""รวมกลาง!J152"")+IMPORTRANGE(""https://docs.google.com/spreadsheets/d/1uenpWDAH2bchvfvsSIjpd4bRU5D1faxJOaE3"&amp;"4GQM5-c/edit?usp=sharing"",""รวมใต้!J152"")"),1070)</f>
        <v>1070</v>
      </c>
      <c r="K152" s="42">
        <f t="shared" ca="1" si="114"/>
        <v>100</v>
      </c>
      <c r="L152" s="41"/>
      <c r="M152" s="41"/>
      <c r="N152" s="41"/>
      <c r="O152" s="41"/>
      <c r="P152" s="41"/>
      <c r="Q152" s="41"/>
      <c r="R152" s="41"/>
      <c r="S152" s="41"/>
      <c r="T152" s="41"/>
      <c r="U152" s="41"/>
    </row>
    <row r="153" spans="1:21" ht="18.75" x14ac:dyDescent="0.25">
      <c r="A153" s="142"/>
      <c r="B153" s="36"/>
      <c r="C153" s="36"/>
      <c r="D153" s="36"/>
      <c r="E153" s="36"/>
      <c r="F153" s="36"/>
      <c r="G153" s="38"/>
      <c r="H153" s="151" t="s">
        <v>54</v>
      </c>
      <c r="I153" s="176">
        <f ca="1">IFERROR(__xludf.DUMMYFUNCTION("IMPORTRANGE(""https://docs.google.com/spreadsheets/d/12pGRKgvn2b31Uz_fjAl3XPzZUM_F2_O-zAHL2XHEPZg/edit?usp=sharing"",""รวมเหนือ!I153"")+IMPORTRANGE(""https://docs.google.com/spreadsheets/d/1c0UfJUA6nE6esVMy0kRcX_PENtt96DMxicQpqi3tips/edit?usp=sharing"","""&amp;"รวมตะวันออกเฉียงเหนือ!I153"")+IMPORTRANGE(""https://docs.google.com/spreadsheets/d/1iNWbYmj0agxPDl_yJgGu1eIremFPVMUuMWUKAjBzvrk/edit?usp=sharing"",""รวมกลาง!I153"")+IMPORTRANGE(""https://docs.google.com/spreadsheets/d/1uenpWDAH2bchvfvsSIjpd4bRU5D1faxJOaE3"&amp;"4GQM5-c/edit?usp=sharing"",""รวมใต้!I153"")"),107)</f>
        <v>107</v>
      </c>
      <c r="J153" s="176">
        <f ca="1">IFERROR(__xludf.DUMMYFUNCTION("IMPORTRANGE(""https://docs.google.com/spreadsheets/d/12pGRKgvn2b31Uz_fjAl3XPzZUM_F2_O-zAHL2XHEPZg/edit?usp=sharing"",""รวมเหนือ!J153"")+IMPORTRANGE(""https://docs.google.com/spreadsheets/d/1c0UfJUA6nE6esVMy0kRcX_PENtt96DMxicQpqi3tips/edit?usp=sharing"","""&amp;"รวมตะวันออกเฉียงเหนือ!J153"")+IMPORTRANGE(""https://docs.google.com/spreadsheets/d/1iNWbYmj0agxPDl_yJgGu1eIremFPVMUuMWUKAjBzvrk/edit?usp=sharing"",""รวมกลาง!J153"")+IMPORTRANGE(""https://docs.google.com/spreadsheets/d/1uenpWDAH2bchvfvsSIjpd4bRU5D1faxJOaE3"&amp;"4GQM5-c/edit?usp=sharing"",""รวมใต้!J153"")"),107)</f>
        <v>107</v>
      </c>
      <c r="K153" s="42">
        <f t="shared" ca="1" si="114"/>
        <v>100</v>
      </c>
      <c r="L153" s="41"/>
      <c r="M153" s="41"/>
      <c r="N153" s="41"/>
      <c r="O153" s="41"/>
      <c r="P153" s="41"/>
      <c r="Q153" s="41"/>
      <c r="R153" s="41"/>
      <c r="S153" s="41"/>
      <c r="T153" s="41"/>
      <c r="U153" s="41"/>
    </row>
    <row r="154" spans="1:21" ht="18.75" x14ac:dyDescent="0.25">
      <c r="A154" s="142"/>
      <c r="B154" s="36"/>
      <c r="C154" s="36"/>
      <c r="D154" s="43" t="s">
        <v>66</v>
      </c>
      <c r="E154" s="36"/>
      <c r="F154" s="36"/>
      <c r="G154" s="38"/>
      <c r="H154" s="151" t="s">
        <v>61</v>
      </c>
      <c r="I154" s="176">
        <f ca="1">IFERROR(__xludf.DUMMYFUNCTION("IMPORTRANGE(""https://docs.google.com/spreadsheets/d/12pGRKgvn2b31Uz_fjAl3XPzZUM_F2_O-zAHL2XHEPZg/edit?usp=sharing"",""รวมเหนือ!I154"")+IMPORTRANGE(""https://docs.google.com/spreadsheets/d/1c0UfJUA6nE6esVMy0kRcX_PENtt96DMxicQpqi3tips/edit?usp=sharing"","""&amp;"รวมตะวันออกเฉียงเหนือ!I154"")+IMPORTRANGE(""https://docs.google.com/spreadsheets/d/1iNWbYmj0agxPDl_yJgGu1eIremFPVMUuMWUKAjBzvrk/edit?usp=sharing"",""รวมกลาง!I154"")+IMPORTRANGE(""https://docs.google.com/spreadsheets/d/1uenpWDAH2bchvfvsSIjpd4bRU5D1faxJOaE3"&amp;"4GQM5-c/edit?usp=sharing"",""รวมใต้!I154"")"),27)</f>
        <v>27</v>
      </c>
      <c r="J154" s="176">
        <f ca="1">IFERROR(__xludf.DUMMYFUNCTION("IMPORTRANGE(""https://docs.google.com/spreadsheets/d/12pGRKgvn2b31Uz_fjAl3XPzZUM_F2_O-zAHL2XHEPZg/edit?usp=sharing"",""รวมเหนือ!J154"")+IMPORTRANGE(""https://docs.google.com/spreadsheets/d/1c0UfJUA6nE6esVMy0kRcX_PENtt96DMxicQpqi3tips/edit?usp=sharing"","""&amp;"รวมตะวันออกเฉียงเหนือ!J154"")+IMPORTRANGE(""https://docs.google.com/spreadsheets/d/1iNWbYmj0agxPDl_yJgGu1eIremFPVMUuMWUKAjBzvrk/edit?usp=sharing"",""รวมกลาง!J154"")+IMPORTRANGE(""https://docs.google.com/spreadsheets/d/1uenpWDAH2bchvfvsSIjpd4bRU5D1faxJOaE3"&amp;"4GQM5-c/edit?usp=sharing"",""รวมใต้!J154"")"),5)</f>
        <v>5</v>
      </c>
      <c r="K154" s="42">
        <f t="shared" ca="1" si="114"/>
        <v>18.518518518518519</v>
      </c>
      <c r="L154" s="41"/>
      <c r="M154" s="41"/>
      <c r="N154" s="41"/>
      <c r="O154" s="41"/>
      <c r="P154" s="41"/>
      <c r="Q154" s="41"/>
      <c r="R154" s="41"/>
      <c r="S154" s="41"/>
      <c r="T154" s="41"/>
      <c r="U154" s="41"/>
    </row>
    <row r="155" spans="1:21" ht="19.5" x14ac:dyDescent="0.3">
      <c r="A155" s="131" t="s">
        <v>67</v>
      </c>
      <c r="B155" s="132"/>
      <c r="C155" s="177"/>
      <c r="D155" s="132"/>
      <c r="E155" s="132"/>
      <c r="F155" s="132"/>
      <c r="G155" s="132"/>
      <c r="H155" s="132"/>
      <c r="I155" s="178"/>
      <c r="J155" s="178"/>
      <c r="K155" s="179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</row>
    <row r="156" spans="1:21" ht="19.5" x14ac:dyDescent="0.3">
      <c r="A156" s="137"/>
      <c r="B156" s="138" t="s">
        <v>68</v>
      </c>
      <c r="C156" s="24"/>
      <c r="D156" s="24"/>
      <c r="E156" s="24"/>
      <c r="F156" s="24"/>
      <c r="G156" s="27"/>
      <c r="H156" s="182" t="s">
        <v>35</v>
      </c>
      <c r="I156" s="141">
        <f t="shared" ref="I156:J156" ca="1" si="115">I168+I169</f>
        <v>2000</v>
      </c>
      <c r="J156" s="141">
        <f t="shared" si="115"/>
        <v>2089</v>
      </c>
      <c r="K156" s="31">
        <f ca="1">IF(I156&gt;0,J156*100/I156,0)</f>
        <v>104.45</v>
      </c>
      <c r="L156" s="30"/>
      <c r="M156" s="30"/>
      <c r="N156" s="30"/>
      <c r="O156" s="30"/>
      <c r="P156" s="30"/>
      <c r="Q156" s="30"/>
      <c r="R156" s="30"/>
      <c r="S156" s="30"/>
      <c r="T156" s="30"/>
      <c r="U156" s="30"/>
    </row>
    <row r="157" spans="1:21" ht="19.5" x14ac:dyDescent="0.3">
      <c r="A157" s="142"/>
      <c r="B157" s="36"/>
      <c r="C157" s="143" t="s">
        <v>18</v>
      </c>
      <c r="D157" s="144" t="s">
        <v>19</v>
      </c>
      <c r="E157" s="36"/>
      <c r="F157" s="36"/>
      <c r="G157" s="38"/>
      <c r="H157" s="145" t="s">
        <v>14</v>
      </c>
      <c r="I157" s="40"/>
      <c r="J157" s="40"/>
      <c r="K157" s="41"/>
      <c r="L157" s="146">
        <f t="shared" ref="L157:N157" ca="1" si="116">L158+L159</f>
        <v>5111200</v>
      </c>
      <c r="M157" s="146">
        <f t="shared" ca="1" si="116"/>
        <v>5111200</v>
      </c>
      <c r="N157" s="146">
        <f t="shared" ca="1" si="116"/>
        <v>5102672.1099999994</v>
      </c>
      <c r="O157" s="146">
        <f t="shared" ref="O157:O165" ca="1" si="117">IF(L157&gt;0,N157*100/L157,0)</f>
        <v>99.833152879949907</v>
      </c>
      <c r="P157" s="146">
        <f t="shared" ref="P157:P165" ca="1" si="118">IF(M157&gt;0,N157*100/M157,0)</f>
        <v>99.833152879949907</v>
      </c>
      <c r="Q157" s="146">
        <f t="shared" ref="Q157:S157" ca="1" si="119">Q158+Q159</f>
        <v>2379400</v>
      </c>
      <c r="R157" s="146">
        <f t="shared" ca="1" si="119"/>
        <v>2379400</v>
      </c>
      <c r="S157" s="146">
        <f t="shared" ca="1" si="119"/>
        <v>167949</v>
      </c>
      <c r="T157" s="146">
        <f t="shared" ref="T157:T165" ca="1" si="120">IF(Q157&gt;0,S157*100/Q157,0)</f>
        <v>7.0584601159956293</v>
      </c>
      <c r="U157" s="146">
        <f t="shared" ref="U157:U165" ca="1" si="121">IF(R157&gt;0,S157*100/R157,0)</f>
        <v>7.0584601159956293</v>
      </c>
    </row>
    <row r="158" spans="1:21" ht="18.75" x14ac:dyDescent="0.25">
      <c r="A158" s="142"/>
      <c r="B158" s="36"/>
      <c r="C158" s="36"/>
      <c r="D158" s="36"/>
      <c r="E158" s="43" t="s">
        <v>20</v>
      </c>
      <c r="F158" s="36"/>
      <c r="G158" s="38"/>
      <c r="H158" s="147" t="s">
        <v>14</v>
      </c>
      <c r="I158" s="40"/>
      <c r="J158" s="40"/>
      <c r="K158" s="41"/>
      <c r="L158" s="42">
        <f t="shared" ref="L158:N158" ca="1" si="122">L161+L164</f>
        <v>4855200</v>
      </c>
      <c r="M158" s="42">
        <f t="shared" ca="1" si="122"/>
        <v>3949929</v>
      </c>
      <c r="N158" s="42">
        <f t="shared" ca="1" si="122"/>
        <v>3941401.11</v>
      </c>
      <c r="O158" s="42">
        <f t="shared" ca="1" si="117"/>
        <v>81.178965027187346</v>
      </c>
      <c r="P158" s="42">
        <f t="shared" ca="1" si="118"/>
        <v>99.784100169901791</v>
      </c>
      <c r="Q158" s="42">
        <f ca="1">IFERROR(__xludf.DUMMYFUNCTION("IMPORTRANGE(""https://docs.google.com/spreadsheets/d/1ItG2mGa2ceCfYo0BwxsXqNm01IGEUdYcSSLTEv9YCik/edit?usp=sharing"",""เบิกจ่ายกองทุน!AM11"")"),2379400)</f>
        <v>2379400</v>
      </c>
      <c r="R158" s="42">
        <f ca="1">IFERROR(__xludf.DUMMYFUNCTION("IMPORTRANGE(""https://docs.google.com/spreadsheets/d/1ItG2mGa2ceCfYo0BwxsXqNm01IGEUdYcSSLTEv9YCik/edit?usp=sharing"",""เบิกจ่ายกองทุน!AN11"")"),2379400)</f>
        <v>2379400</v>
      </c>
      <c r="S158" s="42">
        <f ca="1">IFERROR(__xludf.DUMMYFUNCTION("IMPORTRANGE(""https://docs.google.com/spreadsheets/d/1ItG2mGa2ceCfYo0BwxsXqNm01IGEUdYcSSLTEv9YCik/edit?usp=sharing"",""เบิกจ่ายกองทุน!AO11"")"),167949)</f>
        <v>167949</v>
      </c>
      <c r="T158" s="42">
        <f t="shared" ca="1" si="120"/>
        <v>7.0584601159956293</v>
      </c>
      <c r="U158" s="42">
        <f t="shared" ca="1" si="121"/>
        <v>7.0584601159956293</v>
      </c>
    </row>
    <row r="159" spans="1:21" ht="18.75" x14ac:dyDescent="0.25">
      <c r="A159" s="142"/>
      <c r="B159" s="36"/>
      <c r="C159" s="36"/>
      <c r="D159" s="36"/>
      <c r="E159" s="43" t="s">
        <v>21</v>
      </c>
      <c r="F159" s="36"/>
      <c r="G159" s="38"/>
      <c r="H159" s="147" t="s">
        <v>14</v>
      </c>
      <c r="I159" s="40"/>
      <c r="J159" s="40"/>
      <c r="K159" s="41"/>
      <c r="L159" s="42">
        <f t="shared" ref="L159:N159" ca="1" si="123">L162+L165</f>
        <v>256000</v>
      </c>
      <c r="M159" s="42">
        <f t="shared" ca="1" si="123"/>
        <v>1161271</v>
      </c>
      <c r="N159" s="42">
        <f t="shared" ca="1" si="123"/>
        <v>1161271</v>
      </c>
      <c r="O159" s="42">
        <f t="shared" ca="1" si="117"/>
        <v>453.62148437500002</v>
      </c>
      <c r="P159" s="42">
        <f t="shared" ca="1" si="118"/>
        <v>100</v>
      </c>
      <c r="Q159" s="42">
        <f t="shared" ref="Q159:S159" ca="1" si="124">Q162+Q165</f>
        <v>0</v>
      </c>
      <c r="R159" s="42">
        <f t="shared" ca="1" si="124"/>
        <v>0</v>
      </c>
      <c r="S159" s="42">
        <f t="shared" ca="1" si="124"/>
        <v>0</v>
      </c>
      <c r="T159" s="42">
        <f t="shared" ca="1" si="120"/>
        <v>0</v>
      </c>
      <c r="U159" s="42">
        <f t="shared" ca="1" si="121"/>
        <v>0</v>
      </c>
    </row>
    <row r="160" spans="1:21" ht="18.75" x14ac:dyDescent="0.25">
      <c r="A160" s="142"/>
      <c r="B160" s="36"/>
      <c r="C160" s="36"/>
      <c r="D160" s="37" t="s">
        <v>22</v>
      </c>
      <c r="E160" s="36"/>
      <c r="F160" s="36"/>
      <c r="G160" s="38"/>
      <c r="H160" s="148" t="s">
        <v>14</v>
      </c>
      <c r="I160" s="149"/>
      <c r="J160" s="149"/>
      <c r="K160" s="150"/>
      <c r="L160" s="42">
        <f t="shared" ref="L160:N160" ca="1" si="125">L161+L162</f>
        <v>5111200</v>
      </c>
      <c r="M160" s="42">
        <f t="shared" ca="1" si="125"/>
        <v>5111200</v>
      </c>
      <c r="N160" s="42">
        <f t="shared" ca="1" si="125"/>
        <v>5102672.1099999994</v>
      </c>
      <c r="O160" s="42">
        <f t="shared" ca="1" si="117"/>
        <v>99.833152879949907</v>
      </c>
      <c r="P160" s="42">
        <f t="shared" ca="1" si="118"/>
        <v>99.833152879949907</v>
      </c>
      <c r="Q160" s="42">
        <f t="shared" ref="Q160:S160" ca="1" si="126">Q161+Q162</f>
        <v>0</v>
      </c>
      <c r="R160" s="42">
        <f t="shared" ca="1" si="126"/>
        <v>0</v>
      </c>
      <c r="S160" s="42">
        <f t="shared" ca="1" si="126"/>
        <v>0</v>
      </c>
      <c r="T160" s="42">
        <f t="shared" ca="1" si="120"/>
        <v>0</v>
      </c>
      <c r="U160" s="42">
        <f t="shared" ca="1" si="121"/>
        <v>0</v>
      </c>
    </row>
    <row r="161" spans="1:21" ht="18.75" x14ac:dyDescent="0.25">
      <c r="A161" s="142"/>
      <c r="B161" s="36"/>
      <c r="C161" s="36"/>
      <c r="D161" s="36"/>
      <c r="E161" s="43" t="s">
        <v>36</v>
      </c>
      <c r="F161" s="36"/>
      <c r="G161" s="38"/>
      <c r="H161" s="148" t="s">
        <v>14</v>
      </c>
      <c r="I161" s="149"/>
      <c r="J161" s="149"/>
      <c r="K161" s="150"/>
      <c r="L161" s="42">
        <f ca="1">IFERROR(__xludf.DUMMYFUNCTION("IMPORTRANGE(""https://docs.google.com/spreadsheets/d/1-uDff_7J0KD5mKrp0Vvzr7lt3OU09vwQwhkpOPPYv2Y/edit?usp=sharing"",""งบพรบ!CA9"")"),4855200)</f>
        <v>4855200</v>
      </c>
      <c r="M161" s="42">
        <f ca="1">IFERROR(__xludf.DUMMYFUNCTION("IMPORTRANGE(""https://docs.google.com/spreadsheets/d/1-uDff_7J0KD5mKrp0Vvzr7lt3OU09vwQwhkpOPPYv2Y/edit?usp=sharing"",""งบพรบ!CF9"")"),3949929)</f>
        <v>3949929</v>
      </c>
      <c r="N161" s="42">
        <f ca="1">IFERROR(__xludf.DUMMYFUNCTION("IMPORTRANGE(""https://docs.google.com/spreadsheets/d/1-uDff_7J0KD5mKrp0Vvzr7lt3OU09vwQwhkpOPPYv2Y/edit?usp=sharing"",""งบพรบ!CH9"")"),3941401.11)</f>
        <v>3941401.11</v>
      </c>
      <c r="O161" s="42">
        <f t="shared" ca="1" si="117"/>
        <v>81.178965027187346</v>
      </c>
      <c r="P161" s="42">
        <f t="shared" ca="1" si="118"/>
        <v>99.784100169901791</v>
      </c>
      <c r="Q161" s="42">
        <v>0</v>
      </c>
      <c r="R161" s="42">
        <v>0</v>
      </c>
      <c r="S161" s="42">
        <v>0</v>
      </c>
      <c r="T161" s="42">
        <f t="shared" si="120"/>
        <v>0</v>
      </c>
      <c r="U161" s="42">
        <f t="shared" si="121"/>
        <v>0</v>
      </c>
    </row>
    <row r="162" spans="1:21" ht="18.75" x14ac:dyDescent="0.25">
      <c r="A162" s="142"/>
      <c r="B162" s="36"/>
      <c r="C162" s="36"/>
      <c r="D162" s="36"/>
      <c r="E162" s="43" t="s">
        <v>37</v>
      </c>
      <c r="F162" s="36"/>
      <c r="G162" s="38"/>
      <c r="H162" s="148" t="s">
        <v>14</v>
      </c>
      <c r="I162" s="149"/>
      <c r="J162" s="149"/>
      <c r="K162" s="150"/>
      <c r="L162" s="42">
        <f ca="1">IFERROR(__xludf.DUMMYFUNCTION("IMPORTRANGE(""https://docs.google.com/spreadsheets/d/12pGRKgvn2b31Uz_fjAl3XPzZUM_F2_O-zAHL2XHEPZg/edit?usp=sharing"",""รวมเหนือ!L162"")+IMPORTRANGE(""https://docs.google.com/spreadsheets/d/1c0UfJUA6nE6esVMy0kRcX_PENtt96DMxicQpqi3tips/edit?usp=sharing"","""&amp;"รวมตะวันออกเฉียงเหนือ!L162"")+IMPORTRANGE(""https://docs.google.com/spreadsheets/d/1iNWbYmj0agxPDl_yJgGu1eIremFPVMUuMWUKAjBzvrk/edit?usp=sharing"",""รวมกลาง!L162"")+IMPORTRANGE(""https://docs.google.com/spreadsheets/d/1uenpWDAH2bchvfvsSIjpd4bRU5D1faxJOaE3"&amp;"4GQM5-c/edit?usp=sharing"",""รวมใต้!L162"")"),256000)</f>
        <v>256000</v>
      </c>
      <c r="M162" s="42">
        <f ca="1">IFERROR(__xludf.DUMMYFUNCTION("IMPORTRANGE(""https://docs.google.com/spreadsheets/d/12pGRKgvn2b31Uz_fjAl3XPzZUM_F2_O-zAHL2XHEPZg/edit?usp=sharing"",""รวมเหนือ!M162"")+IMPORTRANGE(""https://docs.google.com/spreadsheets/d/1c0UfJUA6nE6esVMy0kRcX_PENtt96DMxicQpqi3tips/edit?usp=sharing"","""&amp;"รวมตะวันออกเฉียงเหนือ!M162"")+IMPORTRANGE(""https://docs.google.com/spreadsheets/d/1iNWbYmj0agxPDl_yJgGu1eIremFPVMUuMWUKAjBzvrk/edit?usp=sharing"",""รวมกลาง!M162"")+IMPORTRANGE(""https://docs.google.com/spreadsheets/d/1uenpWDAH2bchvfvsSIjpd4bRU5D1faxJOaE3"&amp;"4GQM5-c/edit?usp=sharing"",""รวมใต้!M162"")"),1161271)</f>
        <v>1161271</v>
      </c>
      <c r="N162" s="42">
        <f ca="1">IFERROR(__xludf.DUMMYFUNCTION("IMPORTRANGE(""https://docs.google.com/spreadsheets/d/12pGRKgvn2b31Uz_fjAl3XPzZUM_F2_O-zAHL2XHEPZg/edit?usp=sharing"",""รวมเหนือ!N162"")+IMPORTRANGE(""https://docs.google.com/spreadsheets/d/1c0UfJUA6nE6esVMy0kRcX_PENtt96DMxicQpqi3tips/edit?usp=sharing"","""&amp;"รวมตะวันออกเฉียงเหนือ!N162"")+IMPORTRANGE(""https://docs.google.com/spreadsheets/d/1iNWbYmj0agxPDl_yJgGu1eIremFPVMUuMWUKAjBzvrk/edit?usp=sharing"",""รวมกลาง!N162"")+IMPORTRANGE(""https://docs.google.com/spreadsheets/d/1uenpWDAH2bchvfvsSIjpd4bRU5D1faxJOaE3"&amp;"4GQM5-c/edit?usp=sharing"",""รวมใต้!N162"")"),1161271)</f>
        <v>1161271</v>
      </c>
      <c r="O162" s="42">
        <f t="shared" ca="1" si="117"/>
        <v>453.62148437500002</v>
      </c>
      <c r="P162" s="42">
        <f t="shared" ca="1" si="118"/>
        <v>100</v>
      </c>
      <c r="Q162" s="42">
        <f ca="1">IFERROR(__xludf.DUMMYFUNCTION("IMPORTRANGE(""https://docs.google.com/spreadsheets/d/12pGRKgvn2b31Uz_fjAl3XPzZUM_F2_O-zAHL2XHEPZg/edit?usp=sharing"",""รวมเหนือ!Q162"")+IMPORTRANGE(""https://docs.google.com/spreadsheets/d/1c0UfJUA6nE6esVMy0kRcX_PENtt96DMxicQpqi3tips/edit?usp=sharing"","""&amp;"รวมตะวันออกเฉียงเหนือ!Q162"")+IMPORTRANGE(""https://docs.google.com/spreadsheets/d/1iNWbYmj0agxPDl_yJgGu1eIremFPVMUuMWUKAjBzvrk/edit?usp=sharing"",""รวมกลาง!Q162"")+IMPORTRANGE(""https://docs.google.com/spreadsheets/d/1uenpWDAH2bchvfvsSIjpd4bRU5D1faxJOaE3"&amp;"4GQM5-c/edit?usp=sharing"",""รวมใต้!Q162"")"),0)</f>
        <v>0</v>
      </c>
      <c r="R162" s="42">
        <f ca="1">IFERROR(__xludf.DUMMYFUNCTION("IMPORTRANGE(""https://docs.google.com/spreadsheets/d/12pGRKgvn2b31Uz_fjAl3XPzZUM_F2_O-zAHL2XHEPZg/edit?usp=sharing"",""รวมเหนือ!R162"")+IMPORTRANGE(""https://docs.google.com/spreadsheets/d/1c0UfJUA6nE6esVMy0kRcX_PENtt96DMxicQpqi3tips/edit?usp=sharing"","""&amp;"รวมตะวันออกเฉียงเหนือ!R162"")+IMPORTRANGE(""https://docs.google.com/spreadsheets/d/1iNWbYmj0agxPDl_yJgGu1eIremFPVMUuMWUKAjBzvrk/edit?usp=sharing"",""รวมกลาง!R162"")+IMPORTRANGE(""https://docs.google.com/spreadsheets/d/1uenpWDAH2bchvfvsSIjpd4bRU5D1faxJOaE3"&amp;"4GQM5-c/edit?usp=sharing"",""รวมใต้!R162"")"),0)</f>
        <v>0</v>
      </c>
      <c r="S162" s="42">
        <f ca="1">IFERROR(__xludf.DUMMYFUNCTION("IMPORTRANGE(""https://docs.google.com/spreadsheets/d/12pGRKgvn2b31Uz_fjAl3XPzZUM_F2_O-zAHL2XHEPZg/edit?usp=sharing"",""รวมเหนือ!S162"")+IMPORTRANGE(""https://docs.google.com/spreadsheets/d/1c0UfJUA6nE6esVMy0kRcX_PENtt96DMxicQpqi3tips/edit?usp=sharing"","""&amp;"รวมตะวันออกเฉียงเหนือ!S162"")+IMPORTRANGE(""https://docs.google.com/spreadsheets/d/1iNWbYmj0agxPDl_yJgGu1eIremFPVMUuMWUKAjBzvrk/edit?usp=sharing"",""รวมกลาง!S162"")+IMPORTRANGE(""https://docs.google.com/spreadsheets/d/1uenpWDAH2bchvfvsSIjpd4bRU5D1faxJOaE3"&amp;"4GQM5-c/edit?usp=sharing"",""รวมใต้!S162"")"),0)</f>
        <v>0</v>
      </c>
      <c r="T162" s="42">
        <f t="shared" ca="1" si="120"/>
        <v>0</v>
      </c>
      <c r="U162" s="42">
        <f t="shared" ca="1" si="121"/>
        <v>0</v>
      </c>
    </row>
    <row r="163" spans="1:21" ht="18.75" x14ac:dyDescent="0.25">
      <c r="A163" s="142"/>
      <c r="B163" s="36"/>
      <c r="C163" s="36"/>
      <c r="D163" s="37" t="s">
        <v>23</v>
      </c>
      <c r="E163" s="36"/>
      <c r="F163" s="36"/>
      <c r="G163" s="38"/>
      <c r="H163" s="151" t="s">
        <v>14</v>
      </c>
      <c r="I163" s="149"/>
      <c r="J163" s="149"/>
      <c r="K163" s="150"/>
      <c r="L163" s="42">
        <f t="shared" ref="L163:N163" ca="1" si="127">L164+L165</f>
        <v>0</v>
      </c>
      <c r="M163" s="42">
        <f t="shared" ca="1" si="127"/>
        <v>0</v>
      </c>
      <c r="N163" s="42">
        <f t="shared" ca="1" si="127"/>
        <v>0</v>
      </c>
      <c r="O163" s="42">
        <f t="shared" ca="1" si="117"/>
        <v>0</v>
      </c>
      <c r="P163" s="42">
        <f t="shared" ca="1" si="118"/>
        <v>0</v>
      </c>
      <c r="Q163" s="42">
        <f t="shared" ref="Q163:S163" si="128">Q164+Q165</f>
        <v>0</v>
      </c>
      <c r="R163" s="42">
        <f t="shared" si="128"/>
        <v>0</v>
      </c>
      <c r="S163" s="42">
        <f t="shared" si="128"/>
        <v>0</v>
      </c>
      <c r="T163" s="42">
        <f t="shared" si="120"/>
        <v>0</v>
      </c>
      <c r="U163" s="42">
        <f t="shared" si="121"/>
        <v>0</v>
      </c>
    </row>
    <row r="164" spans="1:21" ht="18.75" x14ac:dyDescent="0.25">
      <c r="A164" s="142"/>
      <c r="B164" s="36"/>
      <c r="C164" s="36"/>
      <c r="D164" s="36"/>
      <c r="E164" s="43" t="s">
        <v>20</v>
      </c>
      <c r="F164" s="36"/>
      <c r="G164" s="38"/>
      <c r="H164" s="148" t="s">
        <v>14</v>
      </c>
      <c r="I164" s="149"/>
      <c r="J164" s="149"/>
      <c r="K164" s="150"/>
      <c r="L164" s="42">
        <f ca="1">IFERROR(__xludf.DUMMYFUNCTION("IMPORTRANGE(""https://docs.google.com/spreadsheets/d/12pGRKgvn2b31Uz_fjAl3XPzZUM_F2_O-zAHL2XHEPZg/edit?usp=sharing"",""รวมเหนือ!L164"")+IMPORTRANGE(""https://docs.google.com/spreadsheets/d/1c0UfJUA6nE6esVMy0kRcX_PENtt96DMxicQpqi3tips/edit?usp=sharing"","""&amp;"รวมตะวันออกเฉียงเหนือ!L164"")+IMPORTRANGE(""https://docs.google.com/spreadsheets/d/1iNWbYmj0agxPDl_yJgGu1eIremFPVMUuMWUKAjBzvrk/edit?usp=sharing"",""รวมกลาง!L164"")+IMPORTRANGE(""https://docs.google.com/spreadsheets/d/1uenpWDAH2bchvfvsSIjpd4bRU5D1faxJOaE3"&amp;"4GQM5-c/edit?usp=sharing"",""รวมใต้!L164"")"),0)</f>
        <v>0</v>
      </c>
      <c r="M164" s="42">
        <f ca="1">IFERROR(__xludf.DUMMYFUNCTION("IMPORTRANGE(""https://docs.google.com/spreadsheets/d/12pGRKgvn2b31Uz_fjAl3XPzZUM_F2_O-zAHL2XHEPZg/edit?usp=sharing"",""รวมเหนือ!M164"")+IMPORTRANGE(""https://docs.google.com/spreadsheets/d/1c0UfJUA6nE6esVMy0kRcX_PENtt96DMxicQpqi3tips/edit?usp=sharing"","""&amp;"รวมตะวันออกเฉียงเหนือ!M164"")+IMPORTRANGE(""https://docs.google.com/spreadsheets/d/1iNWbYmj0agxPDl_yJgGu1eIremFPVMUuMWUKAjBzvrk/edit?usp=sharing"",""รวมกลาง!M164"")+IMPORTRANGE(""https://docs.google.com/spreadsheets/d/1uenpWDAH2bchvfvsSIjpd4bRU5D1faxJOaE3"&amp;"4GQM5-c/edit?usp=sharing"",""รวมใต้!M164"")"),0)</f>
        <v>0</v>
      </c>
      <c r="N164" s="42">
        <f ca="1">IFERROR(__xludf.DUMMYFUNCTION("IMPORTRANGE(""https://docs.google.com/spreadsheets/d/12pGRKgvn2b31Uz_fjAl3XPzZUM_F2_O-zAHL2XHEPZg/edit?usp=sharing"",""รวมเหนือ!N164"")+IMPORTRANGE(""https://docs.google.com/spreadsheets/d/1c0UfJUA6nE6esVMy0kRcX_PENtt96DMxicQpqi3tips/edit?usp=sharing"","""&amp;"รวมตะวันออกเฉียงเหนือ!N164"")+IMPORTRANGE(""https://docs.google.com/spreadsheets/d/1iNWbYmj0agxPDl_yJgGu1eIremFPVMUuMWUKAjBzvrk/edit?usp=sharing"",""รวมกลาง!N164"")+IMPORTRANGE(""https://docs.google.com/spreadsheets/d/1uenpWDAH2bchvfvsSIjpd4bRU5D1faxJOaE3"&amp;"4GQM5-c/edit?usp=sharing"",""รวมใต้!N164"")"),0)</f>
        <v>0</v>
      </c>
      <c r="O164" s="42">
        <f t="shared" ca="1" si="117"/>
        <v>0</v>
      </c>
      <c r="P164" s="42">
        <f t="shared" ca="1" si="118"/>
        <v>0</v>
      </c>
      <c r="Q164" s="42">
        <v>0</v>
      </c>
      <c r="R164" s="42">
        <v>0</v>
      </c>
      <c r="S164" s="42">
        <v>0</v>
      </c>
      <c r="T164" s="42">
        <f t="shared" si="120"/>
        <v>0</v>
      </c>
      <c r="U164" s="42">
        <f t="shared" si="121"/>
        <v>0</v>
      </c>
    </row>
    <row r="165" spans="1:21" ht="18.75" x14ac:dyDescent="0.25">
      <c r="A165" s="142"/>
      <c r="B165" s="36"/>
      <c r="C165" s="36"/>
      <c r="D165" s="36"/>
      <c r="E165" s="43" t="s">
        <v>21</v>
      </c>
      <c r="F165" s="36"/>
      <c r="G165" s="38"/>
      <c r="H165" s="151" t="s">
        <v>14</v>
      </c>
      <c r="I165" s="149"/>
      <c r="J165" s="149"/>
      <c r="K165" s="150"/>
      <c r="L165" s="42">
        <f ca="1">IFERROR(__xludf.DUMMYFUNCTION("IMPORTRANGE(""https://docs.google.com/spreadsheets/d/12pGRKgvn2b31Uz_fjAl3XPzZUM_F2_O-zAHL2XHEPZg/edit?usp=sharing"",""รวมเหนือ!L165"")+IMPORTRANGE(""https://docs.google.com/spreadsheets/d/1c0UfJUA6nE6esVMy0kRcX_PENtt96DMxicQpqi3tips/edit?usp=sharing"","""&amp;"รวมตะวันออกเฉียงเหนือ!L165"")+IMPORTRANGE(""https://docs.google.com/spreadsheets/d/1iNWbYmj0agxPDl_yJgGu1eIremFPVMUuMWUKAjBzvrk/edit?usp=sharing"",""รวมกลาง!L165"")+IMPORTRANGE(""https://docs.google.com/spreadsheets/d/1uenpWDAH2bchvfvsSIjpd4bRU5D1faxJOaE3"&amp;"4GQM5-c/edit?usp=sharing"",""รวมใต้!L165"")"),0)</f>
        <v>0</v>
      </c>
      <c r="M165" s="42">
        <f ca="1">IFERROR(__xludf.DUMMYFUNCTION("IMPORTRANGE(""https://docs.google.com/spreadsheets/d/12pGRKgvn2b31Uz_fjAl3XPzZUM_F2_O-zAHL2XHEPZg/edit?usp=sharing"",""รวมเหนือ!M165"")+IMPORTRANGE(""https://docs.google.com/spreadsheets/d/1c0UfJUA6nE6esVMy0kRcX_PENtt96DMxicQpqi3tips/edit?usp=sharing"","""&amp;"รวมตะวันออกเฉียงเหนือ!M165"")+IMPORTRANGE(""https://docs.google.com/spreadsheets/d/1iNWbYmj0agxPDl_yJgGu1eIremFPVMUuMWUKAjBzvrk/edit?usp=sharing"",""รวมกลาง!M165"")+IMPORTRANGE(""https://docs.google.com/spreadsheets/d/1uenpWDAH2bchvfvsSIjpd4bRU5D1faxJOaE3"&amp;"4GQM5-c/edit?usp=sharing"",""รวมใต้!M165"")"),0)</f>
        <v>0</v>
      </c>
      <c r="N165" s="42">
        <f ca="1">IFERROR(__xludf.DUMMYFUNCTION("IMPORTRANGE(""https://docs.google.com/spreadsheets/d/12pGRKgvn2b31Uz_fjAl3XPzZUM_F2_O-zAHL2XHEPZg/edit?usp=sharing"",""รวมเหนือ!N165"")+IMPORTRANGE(""https://docs.google.com/spreadsheets/d/1c0UfJUA6nE6esVMy0kRcX_PENtt96DMxicQpqi3tips/edit?usp=sharing"","""&amp;"รวมตะวันออกเฉียงเหนือ!N165"")+IMPORTRANGE(""https://docs.google.com/spreadsheets/d/1iNWbYmj0agxPDl_yJgGu1eIremFPVMUuMWUKAjBzvrk/edit?usp=sharing"",""รวมกลาง!N165"")+IMPORTRANGE(""https://docs.google.com/spreadsheets/d/1uenpWDAH2bchvfvsSIjpd4bRU5D1faxJOaE3"&amp;"4GQM5-c/edit?usp=sharing"",""รวมใต้!N165"")"),0)</f>
        <v>0</v>
      </c>
      <c r="O165" s="42">
        <f t="shared" ca="1" si="117"/>
        <v>0</v>
      </c>
      <c r="P165" s="42">
        <f t="shared" ca="1" si="118"/>
        <v>0</v>
      </c>
      <c r="Q165" s="42">
        <v>0</v>
      </c>
      <c r="R165" s="42">
        <v>0</v>
      </c>
      <c r="S165" s="42">
        <v>0</v>
      </c>
      <c r="T165" s="42">
        <f t="shared" si="120"/>
        <v>0</v>
      </c>
      <c r="U165" s="42">
        <f t="shared" si="121"/>
        <v>0</v>
      </c>
    </row>
    <row r="166" spans="1:21" ht="19.5" x14ac:dyDescent="0.3">
      <c r="A166" s="152"/>
      <c r="B166" s="153"/>
      <c r="C166" s="143" t="s">
        <v>18</v>
      </c>
      <c r="D166" s="154" t="s">
        <v>38</v>
      </c>
      <c r="E166" s="155"/>
      <c r="F166" s="155"/>
      <c r="G166" s="156"/>
      <c r="H166" s="185"/>
      <c r="I166" s="40"/>
      <c r="J166" s="40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</row>
    <row r="167" spans="1:21" ht="18.75" x14ac:dyDescent="0.25">
      <c r="A167" s="142"/>
      <c r="B167" s="36"/>
      <c r="C167" s="36"/>
      <c r="D167" s="43" t="s">
        <v>69</v>
      </c>
      <c r="E167" s="36"/>
      <c r="F167" s="36"/>
      <c r="G167" s="38"/>
      <c r="H167" s="151" t="s">
        <v>35</v>
      </c>
      <c r="I167" s="176">
        <f ca="1">IFERROR(__xludf.DUMMYFUNCTION("IMPORTRANGE(""https://docs.google.com/spreadsheets/d/12pGRKgvn2b31Uz_fjAl3XPzZUM_F2_O-zAHL2XHEPZg/edit?usp=sharing"",""รวมเหนือ!I167"")+IMPORTRANGE(""https://docs.google.com/spreadsheets/d/1c0UfJUA6nE6esVMy0kRcX_PENtt96DMxicQpqi3tips/edit?usp=sharing"","""&amp;"รวมตะวันออกเฉียงเหนือ!I167"")+IMPORTRANGE(""https://docs.google.com/spreadsheets/d/1iNWbYmj0agxPDl_yJgGu1eIremFPVMUuMWUKAjBzvrk/edit?usp=sharing"",""รวมกลาง!I167"")+IMPORTRANGE(""https://docs.google.com/spreadsheets/d/1uenpWDAH2bchvfvsSIjpd4bRU5D1faxJOaE3"&amp;"4GQM5-c/edit?usp=sharing"",""รวมใต้!I167"")"),500)</f>
        <v>500</v>
      </c>
      <c r="J167" s="176">
        <f ca="1">IFERROR(__xludf.DUMMYFUNCTION("IMPORTRANGE(""https://docs.google.com/spreadsheets/d/12pGRKgvn2b31Uz_fjAl3XPzZUM_F2_O-zAHL2XHEPZg/edit?usp=sharing"",""รวมเหนือ!J167"")+IMPORTRANGE(""https://docs.google.com/spreadsheets/d/1c0UfJUA6nE6esVMy0kRcX_PENtt96DMxicQpqi3tips/edit?usp=sharing"","""&amp;"รวมตะวันออกเฉียงเหนือ!J167"")+IMPORTRANGE(""https://docs.google.com/spreadsheets/d/1iNWbYmj0agxPDl_yJgGu1eIremFPVMUuMWUKAjBzvrk/edit?usp=sharing"",""รวมกลาง!J167"")+IMPORTRANGE(""https://docs.google.com/spreadsheets/d/1uenpWDAH2bchvfvsSIjpd4bRU5D1faxJOaE3"&amp;"4GQM5-c/edit?usp=sharing"",""รวมใต้!J167"")"),761)</f>
        <v>761</v>
      </c>
      <c r="K167" s="42">
        <f t="shared" ref="K167:K169" ca="1" si="129">IF(I167&gt;0,J167*100/I167,0)</f>
        <v>152.19999999999999</v>
      </c>
      <c r="L167" s="41"/>
      <c r="M167" s="41"/>
      <c r="N167" s="41"/>
      <c r="O167" s="41"/>
      <c r="P167" s="41"/>
      <c r="Q167" s="41"/>
      <c r="R167" s="41"/>
      <c r="S167" s="41"/>
      <c r="T167" s="41"/>
      <c r="U167" s="41"/>
    </row>
    <row r="168" spans="1:21" ht="18.75" x14ac:dyDescent="0.25">
      <c r="A168" s="142"/>
      <c r="B168" s="36"/>
      <c r="C168" s="36"/>
      <c r="D168" s="43" t="s">
        <v>70</v>
      </c>
      <c r="E168" s="36"/>
      <c r="F168" s="36"/>
      <c r="G168" s="38"/>
      <c r="H168" s="151" t="s">
        <v>35</v>
      </c>
      <c r="I168" s="176">
        <f ca="1">I167</f>
        <v>500</v>
      </c>
      <c r="J168" s="176">
        <v>589</v>
      </c>
      <c r="K168" s="42">
        <f t="shared" ca="1" si="129"/>
        <v>117.8</v>
      </c>
      <c r="L168" s="41"/>
      <c r="M168" s="41"/>
      <c r="N168" s="41"/>
      <c r="O168" s="41"/>
      <c r="P168" s="41"/>
      <c r="Q168" s="41"/>
      <c r="R168" s="41"/>
      <c r="S168" s="41"/>
      <c r="T168" s="41"/>
      <c r="U168" s="41"/>
    </row>
    <row r="169" spans="1:21" ht="18.75" x14ac:dyDescent="0.25">
      <c r="A169" s="191"/>
      <c r="B169" s="47"/>
      <c r="C169" s="47"/>
      <c r="D169" s="48" t="s">
        <v>71</v>
      </c>
      <c r="E169" s="47"/>
      <c r="F169" s="47"/>
      <c r="G169" s="49"/>
      <c r="H169" s="192" t="s">
        <v>35</v>
      </c>
      <c r="I169" s="193">
        <v>1500</v>
      </c>
      <c r="J169" s="193">
        <v>1500</v>
      </c>
      <c r="K169" s="124">
        <f t="shared" si="129"/>
        <v>100</v>
      </c>
      <c r="L169" s="52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1:21" ht="19.5" x14ac:dyDescent="0.3">
      <c r="A170" s="194" t="s">
        <v>72</v>
      </c>
      <c r="B170" s="195"/>
      <c r="C170" s="195"/>
      <c r="D170" s="195"/>
      <c r="E170" s="196"/>
      <c r="F170" s="196"/>
      <c r="G170" s="196"/>
      <c r="H170" s="196"/>
      <c r="I170" s="197"/>
      <c r="J170" s="197"/>
      <c r="K170" s="198"/>
      <c r="L170" s="198"/>
      <c r="M170" s="198"/>
      <c r="N170" s="198"/>
      <c r="O170" s="198"/>
      <c r="P170" s="199"/>
      <c r="Q170" s="198"/>
      <c r="R170" s="198"/>
      <c r="S170" s="198"/>
      <c r="T170" s="198"/>
      <c r="U170" s="199"/>
    </row>
    <row r="171" spans="1:21" ht="19.5" x14ac:dyDescent="0.3">
      <c r="A171" s="200" t="s">
        <v>73</v>
      </c>
      <c r="B171" s="201"/>
      <c r="C171" s="201"/>
      <c r="D171" s="202"/>
      <c r="E171" s="202"/>
      <c r="F171" s="202"/>
      <c r="G171" s="202"/>
      <c r="H171" s="203"/>
      <c r="I171" s="204"/>
      <c r="J171" s="204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</row>
    <row r="172" spans="1:21" ht="19.5" x14ac:dyDescent="0.3">
      <c r="A172" s="206"/>
      <c r="B172" s="207" t="s">
        <v>74</v>
      </c>
      <c r="C172" s="208"/>
      <c r="D172" s="155"/>
      <c r="E172" s="155"/>
      <c r="F172" s="155"/>
      <c r="G172" s="156"/>
      <c r="H172" s="209" t="s">
        <v>35</v>
      </c>
      <c r="I172" s="210">
        <f t="shared" ref="I172:J172" ca="1" si="130">I183+I184</f>
        <v>800</v>
      </c>
      <c r="J172" s="210">
        <f t="shared" ca="1" si="130"/>
        <v>796</v>
      </c>
      <c r="K172" s="211">
        <f ca="1">IF(I172&gt;0,J172*100/I172,0)</f>
        <v>99.5</v>
      </c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</row>
    <row r="173" spans="1:21" ht="19.5" x14ac:dyDescent="0.3">
      <c r="A173" s="142"/>
      <c r="B173" s="36"/>
      <c r="C173" s="143" t="s">
        <v>18</v>
      </c>
      <c r="D173" s="144" t="s">
        <v>19</v>
      </c>
      <c r="E173" s="36"/>
      <c r="F173" s="36"/>
      <c r="G173" s="38"/>
      <c r="H173" s="145" t="s">
        <v>14</v>
      </c>
      <c r="I173" s="40"/>
      <c r="J173" s="40"/>
      <c r="K173" s="41"/>
      <c r="L173" s="146">
        <f t="shared" ref="L173:N173" ca="1" si="131">L174+L175</f>
        <v>43219200</v>
      </c>
      <c r="M173" s="146">
        <f t="shared" ca="1" si="131"/>
        <v>43656750</v>
      </c>
      <c r="N173" s="146">
        <f t="shared" ca="1" si="131"/>
        <v>43400056.439999998</v>
      </c>
      <c r="O173" s="146">
        <f t="shared" ref="O173:O181" ca="1" si="132">IF(L173&gt;0,N173*100/L173,0)</f>
        <v>100.41846318302976</v>
      </c>
      <c r="P173" s="146">
        <f t="shared" ref="P173:P181" ca="1" si="133">IF(M173&gt;0,N173*100/M173,0)</f>
        <v>99.41201862254978</v>
      </c>
      <c r="Q173" s="146">
        <f t="shared" ref="Q173:S173" ca="1" si="134">Q174+Q175</f>
        <v>2371100</v>
      </c>
      <c r="R173" s="146">
        <f t="shared" ca="1" si="134"/>
        <v>2371100</v>
      </c>
      <c r="S173" s="146">
        <f t="shared" ca="1" si="134"/>
        <v>2355655</v>
      </c>
      <c r="T173" s="146">
        <f t="shared" ref="T173:T181" ca="1" si="135">IF(Q173&gt;0,S173*100/Q173,0)</f>
        <v>99.34861456707857</v>
      </c>
      <c r="U173" s="146">
        <f t="shared" ref="U173:U181" ca="1" si="136">IF(R173&gt;0,S173*100/R173,0)</f>
        <v>99.34861456707857</v>
      </c>
    </row>
    <row r="174" spans="1:21" ht="18.75" x14ac:dyDescent="0.25">
      <c r="A174" s="142"/>
      <c r="B174" s="36"/>
      <c r="C174" s="36"/>
      <c r="D174" s="36"/>
      <c r="E174" s="43" t="s">
        <v>20</v>
      </c>
      <c r="F174" s="36"/>
      <c r="G174" s="38"/>
      <c r="H174" s="147" t="s">
        <v>14</v>
      </c>
      <c r="I174" s="40"/>
      <c r="J174" s="40"/>
      <c r="K174" s="41"/>
      <c r="L174" s="42">
        <f t="shared" ref="L174:N174" ca="1" si="137">L177+L180</f>
        <v>41905300</v>
      </c>
      <c r="M174" s="42">
        <f t="shared" ca="1" si="137"/>
        <v>40126088</v>
      </c>
      <c r="N174" s="42">
        <f t="shared" ca="1" si="137"/>
        <v>39869394.439999998</v>
      </c>
      <c r="O174" s="42">
        <f t="shared" ca="1" si="132"/>
        <v>95.141651390158287</v>
      </c>
      <c r="P174" s="42">
        <f t="shared" ca="1" si="133"/>
        <v>99.360282617134274</v>
      </c>
      <c r="Q174" s="42">
        <f ca="1">IFERROR(__xludf.DUMMYFUNCTION("IMPORTRANGE(""https://docs.google.com/spreadsheets/d/1ItG2mGa2ceCfYo0BwxsXqNm01IGEUdYcSSLTEv9YCik/edit?usp=sharing"",""เบิกจ่ายกองทุน!DG11"")"),1703340)</f>
        <v>1703340</v>
      </c>
      <c r="R174" s="42">
        <f ca="1">IFERROR(__xludf.DUMMYFUNCTION("IMPORTRANGE(""https://docs.google.com/spreadsheets/d/1ItG2mGa2ceCfYo0BwxsXqNm01IGEUdYcSSLTEv9YCik/edit?usp=sharing"",""เบิกจ่ายกองทุน!DH11"")"),1703340)</f>
        <v>1703340</v>
      </c>
      <c r="S174" s="42">
        <f ca="1">IFERROR(__xludf.DUMMYFUNCTION("IMPORTRANGE(""https://docs.google.com/spreadsheets/d/1ItG2mGa2ceCfYo0BwxsXqNm01IGEUdYcSSLTEv9YCik/edit?usp=sharing"",""เบิกจ่ายกองทุน!DI11"")"),1703340)</f>
        <v>1703340</v>
      </c>
      <c r="T174" s="42">
        <f t="shared" ca="1" si="135"/>
        <v>100</v>
      </c>
      <c r="U174" s="42">
        <f t="shared" ca="1" si="136"/>
        <v>100</v>
      </c>
    </row>
    <row r="175" spans="1:21" ht="18.75" x14ac:dyDescent="0.25">
      <c r="A175" s="142"/>
      <c r="B175" s="36"/>
      <c r="C175" s="36"/>
      <c r="D175" s="36"/>
      <c r="E175" s="43" t="s">
        <v>21</v>
      </c>
      <c r="F175" s="36"/>
      <c r="G175" s="38"/>
      <c r="H175" s="147" t="s">
        <v>14</v>
      </c>
      <c r="I175" s="40"/>
      <c r="J175" s="40"/>
      <c r="K175" s="41"/>
      <c r="L175" s="42">
        <f t="shared" ref="L175:N175" ca="1" si="138">L178+L181</f>
        <v>1313900</v>
      </c>
      <c r="M175" s="42">
        <f t="shared" ca="1" si="138"/>
        <v>3530662</v>
      </c>
      <c r="N175" s="42">
        <f t="shared" ca="1" si="138"/>
        <v>3530662</v>
      </c>
      <c r="O175" s="42">
        <f t="shared" ca="1" si="132"/>
        <v>268.71618844660935</v>
      </c>
      <c r="P175" s="42">
        <f t="shared" ca="1" si="133"/>
        <v>100</v>
      </c>
      <c r="Q175" s="42">
        <f ca="1">IFERROR(__xludf.DUMMYFUNCTION("IMPORTRANGE(""https://docs.google.com/spreadsheets/d/12pGRKgvn2b31Uz_fjAl3XPzZUM_F2_O-zAHL2XHEPZg/edit?usp=sharing"",""รวมเหนือ!Q178"")+IMPORTRANGE(""https://docs.google.com/spreadsheets/d/1c0UfJUA6nE6esVMy0kRcX_PENtt96DMxicQpqi3tips/edit?usp=sharing"","""&amp;"รวมตะวันออกเฉียงเหนือ!Q178"")+IMPORTRANGE(""https://docs.google.com/spreadsheets/d/1iNWbYmj0agxPDl_yJgGu1eIremFPVMUuMWUKAjBzvrk/edit?usp=sharing"",""รวมกลาง!Q178"")+IMPORTRANGE(""https://docs.google.com/spreadsheets/d/1uenpWDAH2bchvfvsSIjpd4bRU5D1faxJOaE3"&amp;"4GQM5-c/edit?usp=sharing"",""รวมใต้!Q178"")"),667760)</f>
        <v>667760</v>
      </c>
      <c r="R175" s="42">
        <f ca="1">IFERROR(__xludf.DUMMYFUNCTION("IMPORTRANGE(""https://docs.google.com/spreadsheets/d/12pGRKgvn2b31Uz_fjAl3XPzZUM_F2_O-zAHL2XHEPZg/edit?usp=sharing"",""รวมเหนือ!R178"")+IMPORTRANGE(""https://docs.google.com/spreadsheets/d/1c0UfJUA6nE6esVMy0kRcX_PENtt96DMxicQpqi3tips/edit?usp=sharing"","""&amp;"รวมตะวันออกเฉียงเหนือ!R178"")+IMPORTRANGE(""https://docs.google.com/spreadsheets/d/1iNWbYmj0agxPDl_yJgGu1eIremFPVMUuMWUKAjBzvrk/edit?usp=sharing"",""รวมกลาง!R178"")+IMPORTRANGE(""https://docs.google.com/spreadsheets/d/1uenpWDAH2bchvfvsSIjpd4bRU5D1faxJOaE3"&amp;"4GQM5-c/edit?usp=sharing"",""รวมใต้!R178"")"),667760)</f>
        <v>667760</v>
      </c>
      <c r="S175" s="42">
        <f ca="1">IFERROR(__xludf.DUMMYFUNCTION("IMPORTRANGE(""https://docs.google.com/spreadsheets/d/12pGRKgvn2b31Uz_fjAl3XPzZUM_F2_O-zAHL2XHEPZg/edit?usp=sharing"",""รวมเหนือ!S178"")+IMPORTRANGE(""https://docs.google.com/spreadsheets/d/1c0UfJUA6nE6esVMy0kRcX_PENtt96DMxicQpqi3tips/edit?usp=sharing"","""&amp;"รวมตะวันออกเฉียงเหนือ!S178"")+IMPORTRANGE(""https://docs.google.com/spreadsheets/d/1iNWbYmj0agxPDl_yJgGu1eIremFPVMUuMWUKAjBzvrk/edit?usp=sharing"",""รวมกลาง!S178"")+IMPORTRANGE(""https://docs.google.com/spreadsheets/d/1uenpWDAH2bchvfvsSIjpd4bRU5D1faxJOaE3"&amp;"4GQM5-c/edit?usp=sharing"",""รวมใต้!S178"")"),652315)</f>
        <v>652315</v>
      </c>
      <c r="T175" s="42">
        <f t="shared" ca="1" si="135"/>
        <v>97.687043249071522</v>
      </c>
      <c r="U175" s="42">
        <f t="shared" ca="1" si="136"/>
        <v>97.687043249071522</v>
      </c>
    </row>
    <row r="176" spans="1:21" ht="18.75" x14ac:dyDescent="0.25">
      <c r="A176" s="142"/>
      <c r="B176" s="36"/>
      <c r="C176" s="36"/>
      <c r="D176" s="37" t="s">
        <v>22</v>
      </c>
      <c r="E176" s="36"/>
      <c r="F176" s="36"/>
      <c r="G176" s="38"/>
      <c r="H176" s="148" t="s">
        <v>14</v>
      </c>
      <c r="I176" s="149"/>
      <c r="J176" s="149"/>
      <c r="K176" s="150"/>
      <c r="L176" s="42">
        <f t="shared" ref="L176:N176" ca="1" si="139">L177+L178</f>
        <v>19228900</v>
      </c>
      <c r="M176" s="42">
        <f t="shared" ca="1" si="139"/>
        <v>19670750</v>
      </c>
      <c r="N176" s="42">
        <f t="shared" ca="1" si="139"/>
        <v>19670056.439999998</v>
      </c>
      <c r="O176" s="42">
        <f t="shared" ca="1" si="132"/>
        <v>102.29423648778661</v>
      </c>
      <c r="P176" s="42">
        <f t="shared" ca="1" si="133"/>
        <v>99.99647415578967</v>
      </c>
      <c r="Q176" s="42">
        <f t="shared" ref="Q176:S176" si="140">Q177+Q178</f>
        <v>0</v>
      </c>
      <c r="R176" s="42">
        <f t="shared" si="140"/>
        <v>0</v>
      </c>
      <c r="S176" s="42">
        <f t="shared" si="140"/>
        <v>0</v>
      </c>
      <c r="T176" s="42">
        <f t="shared" si="135"/>
        <v>0</v>
      </c>
      <c r="U176" s="42">
        <f t="shared" si="136"/>
        <v>0</v>
      </c>
    </row>
    <row r="177" spans="1:21" ht="18.75" x14ac:dyDescent="0.25">
      <c r="A177" s="142"/>
      <c r="B177" s="36"/>
      <c r="C177" s="36"/>
      <c r="D177" s="36"/>
      <c r="E177" s="43" t="s">
        <v>36</v>
      </c>
      <c r="F177" s="36"/>
      <c r="G177" s="38"/>
      <c r="H177" s="148" t="s">
        <v>14</v>
      </c>
      <c r="I177" s="149"/>
      <c r="J177" s="149"/>
      <c r="K177" s="150"/>
      <c r="L177" s="42">
        <f ca="1">IFERROR(__xludf.DUMMYFUNCTION("IMPORTRANGE(""https://docs.google.com/spreadsheets/d/1-uDff_7J0KD5mKrp0Vvzr7lt3OU09vwQwhkpOPPYv2Y/edit?usp=sharing"",""งบพรบ!CK9"")"),17915000)</f>
        <v>17915000</v>
      </c>
      <c r="M177" s="42">
        <f ca="1">IFERROR(__xludf.DUMMYFUNCTION("IMPORTRANGE(""https://docs.google.com/spreadsheets/d/1-uDff_7J0KD5mKrp0Vvzr7lt3OU09vwQwhkpOPPYv2Y/edit?usp=sharing"",""งบพรบ!CP9"")"),16140088)</f>
        <v>16140088</v>
      </c>
      <c r="N177" s="42">
        <f ca="1">IFERROR(__xludf.DUMMYFUNCTION("IMPORTRANGE(""https://docs.google.com/spreadsheets/d/1-uDff_7J0KD5mKrp0Vvzr7lt3OU09vwQwhkpOPPYv2Y/edit?usp=sharing"",""งบพรบ!CR9"")"),16139394.44)</f>
        <v>16139394.439999999</v>
      </c>
      <c r="O177" s="42">
        <f t="shared" ca="1" si="132"/>
        <v>90.088721406642478</v>
      </c>
      <c r="P177" s="42">
        <f t="shared" ca="1" si="133"/>
        <v>99.995702873491155</v>
      </c>
      <c r="Q177" s="42">
        <v>0</v>
      </c>
      <c r="R177" s="42">
        <v>0</v>
      </c>
      <c r="S177" s="42">
        <v>0</v>
      </c>
      <c r="T177" s="42">
        <f t="shared" si="135"/>
        <v>0</v>
      </c>
      <c r="U177" s="42">
        <f t="shared" si="136"/>
        <v>0</v>
      </c>
    </row>
    <row r="178" spans="1:21" ht="18.75" x14ac:dyDescent="0.25">
      <c r="A178" s="142"/>
      <c r="B178" s="36"/>
      <c r="C178" s="36"/>
      <c r="D178" s="36"/>
      <c r="E178" s="43" t="s">
        <v>37</v>
      </c>
      <c r="F178" s="36"/>
      <c r="G178" s="38"/>
      <c r="H178" s="148" t="s">
        <v>14</v>
      </c>
      <c r="I178" s="149"/>
      <c r="J178" s="149"/>
      <c r="K178" s="150"/>
      <c r="L178" s="42">
        <f ca="1">IFERROR(__xludf.DUMMYFUNCTION("IMPORTRANGE(""https://docs.google.com/spreadsheets/d/12pGRKgvn2b31Uz_fjAl3XPzZUM_F2_O-zAHL2XHEPZg/edit?usp=sharing"",""รวมเหนือ!L178"")+IMPORTRANGE(""https://docs.google.com/spreadsheets/d/1c0UfJUA6nE6esVMy0kRcX_PENtt96DMxicQpqi3tips/edit?usp=sharing"","""&amp;"รวมตะวันออกเฉียงเหนือ!L178"")+IMPORTRANGE(""https://docs.google.com/spreadsheets/d/1iNWbYmj0agxPDl_yJgGu1eIremFPVMUuMWUKAjBzvrk/edit?usp=sharing"",""รวมกลาง!L178"")+IMPORTRANGE(""https://docs.google.com/spreadsheets/d/1uenpWDAH2bchvfvsSIjpd4bRU5D1faxJOaE3"&amp;"4GQM5-c/edit?usp=sharing"",""รวมใต้!L178"")"),1313900)</f>
        <v>1313900</v>
      </c>
      <c r="M178" s="42">
        <f ca="1">IFERROR(__xludf.DUMMYFUNCTION("IMPORTRANGE(""https://docs.google.com/spreadsheets/d/12pGRKgvn2b31Uz_fjAl3XPzZUM_F2_O-zAHL2XHEPZg/edit?usp=sharing"",""รวมเหนือ!M178"")+IMPORTRANGE(""https://docs.google.com/spreadsheets/d/1c0UfJUA6nE6esVMy0kRcX_PENtt96DMxicQpqi3tips/edit?usp=sharing"","""&amp;"รวมตะวันออกเฉียงเหนือ!M178"")+IMPORTRANGE(""https://docs.google.com/spreadsheets/d/1iNWbYmj0agxPDl_yJgGu1eIremFPVMUuMWUKAjBzvrk/edit?usp=sharing"",""รวมกลาง!M178"")+IMPORTRANGE(""https://docs.google.com/spreadsheets/d/1uenpWDAH2bchvfvsSIjpd4bRU5D1faxJOaE3"&amp;"4GQM5-c/edit?usp=sharing"",""รวมใต้!M178"")"),3530662)</f>
        <v>3530662</v>
      </c>
      <c r="N178" s="42">
        <f ca="1">IFERROR(__xludf.DUMMYFUNCTION("IMPORTRANGE(""https://docs.google.com/spreadsheets/d/12pGRKgvn2b31Uz_fjAl3XPzZUM_F2_O-zAHL2XHEPZg/edit?usp=sharing"",""รวมเหนือ!N178"")+IMPORTRANGE(""https://docs.google.com/spreadsheets/d/1c0UfJUA6nE6esVMy0kRcX_PENtt96DMxicQpqi3tips/edit?usp=sharing"","""&amp;"รวมตะวันออกเฉียงเหนือ!N178"")+IMPORTRANGE(""https://docs.google.com/spreadsheets/d/1iNWbYmj0agxPDl_yJgGu1eIremFPVMUuMWUKAjBzvrk/edit?usp=sharing"",""รวมกลาง!N178"")+IMPORTRANGE(""https://docs.google.com/spreadsheets/d/1uenpWDAH2bchvfvsSIjpd4bRU5D1faxJOaE3"&amp;"4GQM5-c/edit?usp=sharing"",""รวมใต้!N178"")"),3530662)</f>
        <v>3530662</v>
      </c>
      <c r="O178" s="42">
        <f t="shared" ca="1" si="132"/>
        <v>268.71618844660935</v>
      </c>
      <c r="P178" s="42">
        <f t="shared" ca="1" si="133"/>
        <v>100</v>
      </c>
      <c r="Q178" s="42">
        <v>0</v>
      </c>
      <c r="R178" s="42">
        <v>0</v>
      </c>
      <c r="S178" s="42">
        <v>0</v>
      </c>
      <c r="T178" s="42">
        <f t="shared" si="135"/>
        <v>0</v>
      </c>
      <c r="U178" s="42">
        <f t="shared" si="136"/>
        <v>0</v>
      </c>
    </row>
    <row r="179" spans="1:21" ht="18.75" x14ac:dyDescent="0.25">
      <c r="A179" s="142"/>
      <c r="B179" s="36"/>
      <c r="C179" s="36"/>
      <c r="D179" s="37" t="s">
        <v>23</v>
      </c>
      <c r="E179" s="36"/>
      <c r="F179" s="36"/>
      <c r="G179" s="38"/>
      <c r="H179" s="151" t="s">
        <v>14</v>
      </c>
      <c r="I179" s="149"/>
      <c r="J179" s="149"/>
      <c r="K179" s="150"/>
      <c r="L179" s="42">
        <f t="shared" ref="L179:N179" ca="1" si="141">L180+L181</f>
        <v>23990300</v>
      </c>
      <c r="M179" s="42">
        <f t="shared" ca="1" si="141"/>
        <v>23986000</v>
      </c>
      <c r="N179" s="42">
        <f t="shared" ca="1" si="141"/>
        <v>23730000</v>
      </c>
      <c r="O179" s="42">
        <f t="shared" ca="1" si="132"/>
        <v>98.914978136997036</v>
      </c>
      <c r="P179" s="42">
        <f t="shared" ca="1" si="133"/>
        <v>98.932710747936298</v>
      </c>
      <c r="Q179" s="42">
        <f t="shared" ref="Q179:S179" ca="1" si="142">Q180+Q181</f>
        <v>0</v>
      </c>
      <c r="R179" s="42">
        <f t="shared" ca="1" si="142"/>
        <v>0</v>
      </c>
      <c r="S179" s="42">
        <f t="shared" ca="1" si="142"/>
        <v>0</v>
      </c>
      <c r="T179" s="42">
        <f t="shared" ca="1" si="135"/>
        <v>0</v>
      </c>
      <c r="U179" s="42">
        <f t="shared" ca="1" si="136"/>
        <v>0</v>
      </c>
    </row>
    <row r="180" spans="1:21" ht="18.75" x14ac:dyDescent="0.25">
      <c r="A180" s="142"/>
      <c r="B180" s="36"/>
      <c r="C180" s="36"/>
      <c r="D180" s="36"/>
      <c r="E180" s="43" t="s">
        <v>20</v>
      </c>
      <c r="F180" s="36"/>
      <c r="G180" s="38"/>
      <c r="H180" s="148" t="s">
        <v>14</v>
      </c>
      <c r="I180" s="149"/>
      <c r="J180" s="149"/>
      <c r="K180" s="150"/>
      <c r="L180" s="42">
        <f ca="1">IFERROR(__xludf.DUMMYFUNCTION("IMPORTRANGE(""https://docs.google.com/spreadsheets/d/1-uDff_7J0KD5mKrp0Vvzr7lt3OU09vwQwhkpOPPYv2Y/edit?usp=sharing"",""งบพรบ!CN9"")"),23990300)</f>
        <v>23990300</v>
      </c>
      <c r="M180" s="42">
        <f ca="1">IFERROR(__xludf.DUMMYFUNCTION("IMPORTRANGE(""https://docs.google.com/spreadsheets/d/1-uDff_7J0KD5mKrp0Vvzr7lt3OU09vwQwhkpOPPYv2Y/edit?usp=sharing"",""งบพรบ!CQ9"")"),23986000)</f>
        <v>23986000</v>
      </c>
      <c r="N180" s="42">
        <f ca="1">IFERROR(__xludf.DUMMYFUNCTION("IMPORTRANGE(""https://docs.google.com/spreadsheets/d/1-uDff_7J0KD5mKrp0Vvzr7lt3OU09vwQwhkpOPPYv2Y/edit?usp=sharing"",""งบพรบ!CS9"")"),23730000)</f>
        <v>23730000</v>
      </c>
      <c r="O180" s="42">
        <f t="shared" ca="1" si="132"/>
        <v>98.914978136997036</v>
      </c>
      <c r="P180" s="42">
        <f t="shared" ca="1" si="133"/>
        <v>98.932710747936298</v>
      </c>
      <c r="Q180" s="42">
        <v>0</v>
      </c>
      <c r="R180" s="42">
        <v>0</v>
      </c>
      <c r="S180" s="42">
        <v>0</v>
      </c>
      <c r="T180" s="42">
        <f t="shared" si="135"/>
        <v>0</v>
      </c>
      <c r="U180" s="42">
        <f t="shared" si="136"/>
        <v>0</v>
      </c>
    </row>
    <row r="181" spans="1:21" ht="18.75" x14ac:dyDescent="0.25">
      <c r="A181" s="142"/>
      <c r="B181" s="36"/>
      <c r="C181" s="36"/>
      <c r="D181" s="36"/>
      <c r="E181" s="43" t="s">
        <v>21</v>
      </c>
      <c r="F181" s="36"/>
      <c r="G181" s="38"/>
      <c r="H181" s="151" t="s">
        <v>14</v>
      </c>
      <c r="I181" s="149"/>
      <c r="J181" s="149"/>
      <c r="K181" s="150"/>
      <c r="L181" s="42">
        <f ca="1">IFERROR(__xludf.DUMMYFUNCTION("IMPORTRANGE(""https://docs.google.com/spreadsheets/d/12pGRKgvn2b31Uz_fjAl3XPzZUM_F2_O-zAHL2XHEPZg/edit?usp=sharing"",""รวมเหนือ!L181"")+IMPORTRANGE(""https://docs.google.com/spreadsheets/d/1c0UfJUA6nE6esVMy0kRcX_PENtt96DMxicQpqi3tips/edit?usp=sharing"","""&amp;"รวมตะวันออกเฉียงเหนือ!L181"")+IMPORTRANGE(""https://docs.google.com/spreadsheets/d/1iNWbYmj0agxPDl_yJgGu1eIremFPVMUuMWUKAjBzvrk/edit?usp=sharing"",""รวมกลาง!L181"")+IMPORTRANGE(""https://docs.google.com/spreadsheets/d/1uenpWDAH2bchvfvsSIjpd4bRU5D1faxJOaE3"&amp;"4GQM5-c/edit?usp=sharing"",""รวมใต้!L181"")"),0)</f>
        <v>0</v>
      </c>
      <c r="M181" s="42">
        <f ca="1">IFERROR(__xludf.DUMMYFUNCTION("IMPORTRANGE(""https://docs.google.com/spreadsheets/d/12pGRKgvn2b31Uz_fjAl3XPzZUM_F2_O-zAHL2XHEPZg/edit?usp=sharing"",""รวมเหนือ!M181"")+IMPORTRANGE(""https://docs.google.com/spreadsheets/d/1c0UfJUA6nE6esVMy0kRcX_PENtt96DMxicQpqi3tips/edit?usp=sharing"","""&amp;"รวมตะวันออกเฉียงเหนือ!M181"")+IMPORTRANGE(""https://docs.google.com/spreadsheets/d/1iNWbYmj0agxPDl_yJgGu1eIremFPVMUuMWUKAjBzvrk/edit?usp=sharing"",""รวมกลาง!M181"")+IMPORTRANGE(""https://docs.google.com/spreadsheets/d/1uenpWDAH2bchvfvsSIjpd4bRU5D1faxJOaE3"&amp;"4GQM5-c/edit?usp=sharing"",""รวมใต้!M181"")"),0)</f>
        <v>0</v>
      </c>
      <c r="N181" s="42">
        <f ca="1">IFERROR(__xludf.DUMMYFUNCTION("IMPORTRANGE(""https://docs.google.com/spreadsheets/d/12pGRKgvn2b31Uz_fjAl3XPzZUM_F2_O-zAHL2XHEPZg/edit?usp=sharing"",""รวมเหนือ!N181"")+IMPORTRANGE(""https://docs.google.com/spreadsheets/d/1c0UfJUA6nE6esVMy0kRcX_PENtt96DMxicQpqi3tips/edit?usp=sharing"","""&amp;"รวมตะวันออกเฉียงเหนือ!N181"")+IMPORTRANGE(""https://docs.google.com/spreadsheets/d/1iNWbYmj0agxPDl_yJgGu1eIremFPVMUuMWUKAjBzvrk/edit?usp=sharing"",""รวมกลาง!N181"")+IMPORTRANGE(""https://docs.google.com/spreadsheets/d/1uenpWDAH2bchvfvsSIjpd4bRU5D1faxJOaE3"&amp;"4GQM5-c/edit?usp=sharing"",""รวมใต้!N181"")"),0)</f>
        <v>0</v>
      </c>
      <c r="O181" s="42">
        <f t="shared" ca="1" si="132"/>
        <v>0</v>
      </c>
      <c r="P181" s="42">
        <f t="shared" ca="1" si="133"/>
        <v>0</v>
      </c>
      <c r="Q181" s="42">
        <f ca="1">IFERROR(__xludf.DUMMYFUNCTION("IMPORTRANGE(""https://docs.google.com/spreadsheets/d/12pGRKgvn2b31Uz_fjAl3XPzZUM_F2_O-zAHL2XHEPZg/edit?usp=sharing"",""รวมเหนือ!Q181"")+IMPORTRANGE(""https://docs.google.com/spreadsheets/d/1c0UfJUA6nE6esVMy0kRcX_PENtt96DMxicQpqi3tips/edit?usp=sharing"","""&amp;"รวมตะวันออกเฉียงเหนือ!Q181"")+IMPORTRANGE(""https://docs.google.com/spreadsheets/d/1iNWbYmj0agxPDl_yJgGu1eIremFPVMUuMWUKAjBzvrk/edit?usp=sharing"",""รวมกลาง!Q181"")+IMPORTRANGE(""https://docs.google.com/spreadsheets/d/1uenpWDAH2bchvfvsSIjpd4bRU5D1faxJOaE3"&amp;"4GQM5-c/edit?usp=sharing"",""รวมใต้!Q181"")"),0)</f>
        <v>0</v>
      </c>
      <c r="R181" s="42">
        <f ca="1">IFERROR(__xludf.DUMMYFUNCTION("IMPORTRANGE(""https://docs.google.com/spreadsheets/d/12pGRKgvn2b31Uz_fjAl3XPzZUM_F2_O-zAHL2XHEPZg/edit?usp=sharing"",""รวมเหนือ!R181"")+IMPORTRANGE(""https://docs.google.com/spreadsheets/d/1c0UfJUA6nE6esVMy0kRcX_PENtt96DMxicQpqi3tips/edit?usp=sharing"","""&amp;"รวมตะวันออกเฉียงเหนือ!R181"")+IMPORTRANGE(""https://docs.google.com/spreadsheets/d/1iNWbYmj0agxPDl_yJgGu1eIremFPVMUuMWUKAjBzvrk/edit?usp=sharing"",""รวมกลาง!R181"")+IMPORTRANGE(""https://docs.google.com/spreadsheets/d/1uenpWDAH2bchvfvsSIjpd4bRU5D1faxJOaE3"&amp;"4GQM5-c/edit?usp=sharing"",""รวมใต้!R181"")"),0)</f>
        <v>0</v>
      </c>
      <c r="S181" s="42">
        <f ca="1">IFERROR(__xludf.DUMMYFUNCTION("IMPORTRANGE(""https://docs.google.com/spreadsheets/d/12pGRKgvn2b31Uz_fjAl3XPzZUM_F2_O-zAHL2XHEPZg/edit?usp=sharing"",""รวมเหนือ!S181"")+IMPORTRANGE(""https://docs.google.com/spreadsheets/d/1c0UfJUA6nE6esVMy0kRcX_PENtt96DMxicQpqi3tips/edit?usp=sharing"","""&amp;"รวมตะวันออกเฉียงเหนือ!S181"")+IMPORTRANGE(""https://docs.google.com/spreadsheets/d/1iNWbYmj0agxPDl_yJgGu1eIremFPVMUuMWUKAjBzvrk/edit?usp=sharing"",""รวมกลาง!S181"")+IMPORTRANGE(""https://docs.google.com/spreadsheets/d/1uenpWDAH2bchvfvsSIjpd4bRU5D1faxJOaE3"&amp;"4GQM5-c/edit?usp=sharing"",""รวมใต้!S181"")"),0)</f>
        <v>0</v>
      </c>
      <c r="T181" s="42">
        <f t="shared" ca="1" si="135"/>
        <v>0</v>
      </c>
      <c r="U181" s="42">
        <f t="shared" ca="1" si="136"/>
        <v>0</v>
      </c>
    </row>
    <row r="182" spans="1:21" ht="19.5" x14ac:dyDescent="0.3">
      <c r="A182" s="152"/>
      <c r="B182" s="153"/>
      <c r="C182" s="143" t="s">
        <v>18</v>
      </c>
      <c r="D182" s="154" t="s">
        <v>38</v>
      </c>
      <c r="E182" s="155"/>
      <c r="F182" s="155"/>
      <c r="G182" s="156"/>
      <c r="H182" s="185"/>
      <c r="I182" s="40"/>
      <c r="J182" s="40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</row>
    <row r="183" spans="1:21" ht="18.75" x14ac:dyDescent="0.25">
      <c r="A183" s="213"/>
      <c r="B183" s="36"/>
      <c r="C183" s="170"/>
      <c r="D183" s="214" t="s">
        <v>75</v>
      </c>
      <c r="E183" s="36"/>
      <c r="F183" s="36"/>
      <c r="G183" s="38"/>
      <c r="H183" s="215" t="s">
        <v>35</v>
      </c>
      <c r="I183" s="176">
        <f ca="1">IFERROR(__xludf.DUMMYFUNCTION("IMPORTRANGE(""https://docs.google.com/spreadsheets/d/12pGRKgvn2b31Uz_fjAl3XPzZUM_F2_O-zAHL2XHEPZg/edit?usp=sharing"",""รวมเหนือ!I183"")+IMPORTRANGE(""https://docs.google.com/spreadsheets/d/1c0UfJUA6nE6esVMy0kRcX_PENtt96DMxicQpqi3tips/edit?usp=sharing"","""&amp;"รวมตะวันออกเฉียงเหนือ!I183"")+IMPORTRANGE(""https://docs.google.com/spreadsheets/d/1iNWbYmj0agxPDl_yJgGu1eIremFPVMUuMWUKAjBzvrk/edit?usp=sharing"",""รวมกลาง!I183"")+IMPORTRANGE(""https://docs.google.com/spreadsheets/d/1uenpWDAH2bchvfvsSIjpd4bRU5D1faxJOaE3"&amp;"4GQM5-c/edit?usp=sharing"",""รวมใต้!I183"")"),730)</f>
        <v>730</v>
      </c>
      <c r="J183" s="176">
        <f ca="1">IFERROR(__xludf.DUMMYFUNCTION("IMPORTRANGE(""https://docs.google.com/spreadsheets/d/12pGRKgvn2b31Uz_fjAl3XPzZUM_F2_O-zAHL2XHEPZg/edit?usp=sharing"",""รวมเหนือ!J183"")+IMPORTRANGE(""https://docs.google.com/spreadsheets/d/1c0UfJUA6nE6esVMy0kRcX_PENtt96DMxicQpqi3tips/edit?usp=sharing"","""&amp;"รวมตะวันออกเฉียงเหนือ!J183"")+IMPORTRANGE(""https://docs.google.com/spreadsheets/d/1iNWbYmj0agxPDl_yJgGu1eIremFPVMUuMWUKAjBzvrk/edit?usp=sharing"",""รวมกลาง!J183"")+IMPORTRANGE(""https://docs.google.com/spreadsheets/d/1uenpWDAH2bchvfvsSIjpd4bRU5D1faxJOaE3"&amp;"4GQM5-c/edit?usp=sharing"",""รวมใต้!J183"")"),730)</f>
        <v>730</v>
      </c>
      <c r="K183" s="42">
        <f t="shared" ref="K183:K185" ca="1" si="143">IF(I183&gt;0,J183*100/I183,0)</f>
        <v>100</v>
      </c>
      <c r="L183" s="41"/>
      <c r="M183" s="41"/>
      <c r="N183" s="41"/>
      <c r="O183" s="41"/>
      <c r="P183" s="41"/>
      <c r="Q183" s="41"/>
      <c r="R183" s="41"/>
      <c r="S183" s="41"/>
      <c r="T183" s="41"/>
      <c r="U183" s="41"/>
    </row>
    <row r="184" spans="1:21" ht="18.75" x14ac:dyDescent="0.25">
      <c r="A184" s="213"/>
      <c r="B184" s="170"/>
      <c r="C184" s="170"/>
      <c r="D184" s="214" t="s">
        <v>76</v>
      </c>
      <c r="E184" s="36"/>
      <c r="F184" s="36"/>
      <c r="G184" s="38"/>
      <c r="H184" s="215" t="s">
        <v>35</v>
      </c>
      <c r="I184" s="176">
        <v>70</v>
      </c>
      <c r="J184" s="176">
        <v>66</v>
      </c>
      <c r="K184" s="42">
        <f t="shared" si="143"/>
        <v>94.285714285714292</v>
      </c>
      <c r="L184" s="41"/>
      <c r="M184" s="41"/>
      <c r="N184" s="41"/>
      <c r="O184" s="41"/>
      <c r="P184" s="41"/>
      <c r="Q184" s="41"/>
      <c r="R184" s="41"/>
      <c r="S184" s="41"/>
      <c r="T184" s="41"/>
      <c r="U184" s="41"/>
    </row>
    <row r="185" spans="1:21" ht="19.5" x14ac:dyDescent="0.3">
      <c r="A185" s="206"/>
      <c r="B185" s="207" t="s">
        <v>77</v>
      </c>
      <c r="C185" s="208"/>
      <c r="D185" s="155"/>
      <c r="E185" s="155"/>
      <c r="F185" s="155"/>
      <c r="G185" s="156"/>
      <c r="H185" s="209" t="s">
        <v>35</v>
      </c>
      <c r="I185" s="210">
        <f ca="1">I230+I231</f>
        <v>1130</v>
      </c>
      <c r="J185" s="210">
        <f ca="1">J231</f>
        <v>1145</v>
      </c>
      <c r="K185" s="211">
        <f t="shared" ca="1" si="143"/>
        <v>101.32743362831859</v>
      </c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</row>
    <row r="186" spans="1:21" ht="19.5" x14ac:dyDescent="0.3">
      <c r="A186" s="142"/>
      <c r="B186" s="36"/>
      <c r="C186" s="143" t="s">
        <v>18</v>
      </c>
      <c r="D186" s="144" t="s">
        <v>19</v>
      </c>
      <c r="E186" s="36"/>
      <c r="F186" s="36"/>
      <c r="G186" s="38"/>
      <c r="H186" s="145" t="s">
        <v>14</v>
      </c>
      <c r="I186" s="40"/>
      <c r="J186" s="40"/>
      <c r="K186" s="41"/>
      <c r="L186" s="146">
        <f t="shared" ref="L186:N186" ca="1" si="144">L187+L188</f>
        <v>19198200</v>
      </c>
      <c r="M186" s="146">
        <f t="shared" ca="1" si="144"/>
        <v>18760650</v>
      </c>
      <c r="N186" s="146">
        <f t="shared" ca="1" si="144"/>
        <v>18759625.640000001</v>
      </c>
      <c r="O186" s="146">
        <f t="shared" ref="O186:O194" ca="1" si="145">IF(L186&gt;0,N186*100/L186,0)</f>
        <v>97.71554437395173</v>
      </c>
      <c r="P186" s="146">
        <f t="shared" ref="P186:P194" ca="1" si="146">IF(M186&gt;0,N186*100/M186,0)</f>
        <v>99.994539848032986</v>
      </c>
      <c r="Q186" s="146">
        <f ca="1">Q187+Q188</f>
        <v>5957738</v>
      </c>
      <c r="R186" s="146">
        <f ca="1">IFERROR(__xludf.DUMMYFUNCTION("IMPORTRANGE(""https://docs.google.com/spreadsheets/d/12pGRKgvn2b31Uz_fjAl3XPzZUM_F2_O-zAHL2XHEPZg/edit?usp=sharing"",""รวมเหนือ!R186"")+IMPORTRANGE(""https://docs.google.com/spreadsheets/d/1c0UfJUA6nE6esVMy0kRcX_PENtt96DMxicQpqi3tips/edit?usp=sharing"","""&amp;"รวมตะวันออกเฉียงเหนือ!R186"")+IMPORTRANGE(""https://docs.google.com/spreadsheets/d/1iNWbYmj0agxPDl_yJgGu1eIremFPVMUuMWUKAjBzvrk/edit?usp=sharing"",""รวมกลาง!R186"")+IMPORTRANGE(""https://docs.google.com/spreadsheets/d/1uenpWDAH2bchvfvsSIjpd4bRU5D1faxJOaE3"&amp;"4GQM5-c/edit?usp=sharing"",""รวมใต้!R186"")"),6153738)</f>
        <v>6153738</v>
      </c>
      <c r="S186" s="146">
        <f ca="1">IFERROR(__xludf.DUMMYFUNCTION("IMPORTRANGE(""https://docs.google.com/spreadsheets/d/12pGRKgvn2b31Uz_fjAl3XPzZUM_F2_O-zAHL2XHEPZg/edit?usp=sharing"",""รวมเหนือ!S186"")+IMPORTRANGE(""https://docs.google.com/spreadsheets/d/1c0UfJUA6nE6esVMy0kRcX_PENtt96DMxicQpqi3tips/edit?usp=sharing"","""&amp;"รวมตะวันออกเฉียงเหนือ!S186"")+IMPORTRANGE(""https://docs.google.com/spreadsheets/d/1iNWbYmj0agxPDl_yJgGu1eIremFPVMUuMWUKAjBzvrk/edit?usp=sharing"",""รวมกลาง!S186"")+IMPORTRANGE(""https://docs.google.com/spreadsheets/d/1uenpWDAH2bchvfvsSIjpd4bRU5D1faxJOaE3"&amp;"4GQM5-c/edit?usp=sharing"",""รวมใต้!S186"")"),5525024.7)</f>
        <v>5525024.7000000002</v>
      </c>
      <c r="T186" s="146">
        <f t="shared" ref="T186:T194" ca="1" si="147">IF(Q186&gt;0,S186*100/Q186,0)</f>
        <v>92.736953185923923</v>
      </c>
      <c r="U186" s="146">
        <f t="shared" ref="U186:U194" ca="1" si="148">IF(R186&gt;0,S186*100/R186,0)</f>
        <v>89.783229315255213</v>
      </c>
    </row>
    <row r="187" spans="1:21" ht="18.75" x14ac:dyDescent="0.25">
      <c r="A187" s="142"/>
      <c r="B187" s="36"/>
      <c r="C187" s="36"/>
      <c r="D187" s="36"/>
      <c r="E187" s="43" t="s">
        <v>20</v>
      </c>
      <c r="F187" s="36"/>
      <c r="G187" s="38"/>
      <c r="H187" s="147" t="s">
        <v>14</v>
      </c>
      <c r="I187" s="40"/>
      <c r="J187" s="40"/>
      <c r="K187" s="41"/>
      <c r="L187" s="42">
        <f t="shared" ref="L187:N187" ca="1" si="149">L190+L193</f>
        <v>4186900</v>
      </c>
      <c r="M187" s="42">
        <f t="shared" ca="1" si="149"/>
        <v>2285873</v>
      </c>
      <c r="N187" s="42">
        <f t="shared" ca="1" si="149"/>
        <v>2284849</v>
      </c>
      <c r="O187" s="42">
        <f t="shared" ca="1" si="145"/>
        <v>54.571377391387422</v>
      </c>
      <c r="P187" s="42">
        <f t="shared" ca="1" si="146"/>
        <v>99.955203110584009</v>
      </c>
      <c r="Q187" s="42">
        <f ca="1">IFERROR(__xludf.DUMMYFUNCTION("IMPORTRANGE(""https://docs.google.com/spreadsheets/d/1ItG2mGa2ceCfYo0BwxsXqNm01IGEUdYcSSLTEv9YCik/edit?usp=sharing"",""เบิกจ่ายกองทุน!BQ11"")"),54000)</f>
        <v>54000</v>
      </c>
      <c r="R187" s="42">
        <f ca="1">IFERROR(__xludf.DUMMYFUNCTION("IMPORTRANGE(""https://docs.google.com/spreadsheets/d/1ItG2mGa2ceCfYo0BwxsXqNm01IGEUdYcSSLTEv9YCik/edit?usp=sharing"",""เบิกจ่ายกองทุน!BR11"")"),0)</f>
        <v>0</v>
      </c>
      <c r="S187" s="42">
        <f ca="1">IFERROR(__xludf.DUMMYFUNCTION("IMPORTRANGE(""https://docs.google.com/spreadsheets/d/1ItG2mGa2ceCfYo0BwxsXqNm01IGEUdYcSSLTEv9YCik/edit?usp=sharing"",""เบิกจ่ายกองทุน!BS11"")"),0)</f>
        <v>0</v>
      </c>
      <c r="T187" s="42">
        <f t="shared" ca="1" si="147"/>
        <v>0</v>
      </c>
      <c r="U187" s="42">
        <f t="shared" ca="1" si="148"/>
        <v>0</v>
      </c>
    </row>
    <row r="188" spans="1:21" ht="18.75" x14ac:dyDescent="0.25">
      <c r="A188" s="142"/>
      <c r="B188" s="36"/>
      <c r="C188" s="36"/>
      <c r="D188" s="36"/>
      <c r="E188" s="43" t="s">
        <v>21</v>
      </c>
      <c r="F188" s="36"/>
      <c r="G188" s="38"/>
      <c r="H188" s="147" t="s">
        <v>14</v>
      </c>
      <c r="I188" s="40"/>
      <c r="J188" s="40"/>
      <c r="K188" s="41"/>
      <c r="L188" s="42">
        <f t="shared" ref="L188:N188" ca="1" si="150">L191+L194</f>
        <v>15011300</v>
      </c>
      <c r="M188" s="42">
        <f t="shared" ca="1" si="150"/>
        <v>16474777</v>
      </c>
      <c r="N188" s="42">
        <f t="shared" ca="1" si="150"/>
        <v>16474776.640000001</v>
      </c>
      <c r="O188" s="42">
        <f t="shared" ca="1" si="145"/>
        <v>109.74916656119056</v>
      </c>
      <c r="P188" s="42">
        <f t="shared" ca="1" si="146"/>
        <v>99.999997814841436</v>
      </c>
      <c r="Q188" s="42">
        <f ca="1">IFERROR(__xludf.DUMMYFUNCTION("IMPORTRANGE(""https://docs.google.com/spreadsheets/d/12pGRKgvn2b31Uz_fjAl3XPzZUM_F2_O-zAHL2XHEPZg/edit?usp=sharing"",""รวมเหนือ!Q186"")+IMPORTRANGE(""https://docs.google.com/spreadsheets/d/1c0UfJUA6nE6esVMy0kRcX_PENtt96DMxicQpqi3tips/edit?usp=sharing"","""&amp;"รวมตะวันออกเฉียงเหนือ!Q186"")+IMPORTRANGE(""https://docs.google.com/spreadsheets/d/1iNWbYmj0agxPDl_yJgGu1eIremFPVMUuMWUKAjBzvrk/edit?usp=sharing"",""รวมกลาง!Q186"")+IMPORTRANGE(""https://docs.google.com/spreadsheets/d/1uenpWDAH2bchvfvsSIjpd4bRU5D1faxJOaE3"&amp;"4GQM5-c/edit?usp=sharing"",""รวมใต้!Q186"")"),5903738)</f>
        <v>5903738</v>
      </c>
      <c r="R188" s="42">
        <f ca="1">IFERROR(__xludf.DUMMYFUNCTION("IMPORTRANGE(""https://docs.google.com/spreadsheets/d/12pGRKgvn2b31Uz_fjAl3XPzZUM_F2_O-zAHL2XHEPZg/edit?usp=sharing"",""รวมเหนือ!R186"")+IMPORTRANGE(""https://docs.google.com/spreadsheets/d/1c0UfJUA6nE6esVMy0kRcX_PENtt96DMxicQpqi3tips/edit?usp=sharing"","""&amp;"รวมตะวันออกเฉียงเหนือ!R186"")+IMPORTRANGE(""https://docs.google.com/spreadsheets/d/1iNWbYmj0agxPDl_yJgGu1eIremFPVMUuMWUKAjBzvrk/edit?usp=sharing"",""รวมกลาง!R186"")+IMPORTRANGE(""https://docs.google.com/spreadsheets/d/1uenpWDAH2bchvfvsSIjpd4bRU5D1faxJOaE3"&amp;"4GQM5-c/edit?usp=sharing"",""รวมใต้!R186"")"),6153738)</f>
        <v>6153738</v>
      </c>
      <c r="S188" s="42">
        <f ca="1">IFERROR(__xludf.DUMMYFUNCTION("IMPORTRANGE(""https://docs.google.com/spreadsheets/d/12pGRKgvn2b31Uz_fjAl3XPzZUM_F2_O-zAHL2XHEPZg/edit?usp=sharing"",""รวมเหนือ!S186"")+IMPORTRANGE(""https://docs.google.com/spreadsheets/d/1c0UfJUA6nE6esVMy0kRcX_PENtt96DMxicQpqi3tips/edit?usp=sharing"","""&amp;"รวมตะวันออกเฉียงเหนือ!S186"")+IMPORTRANGE(""https://docs.google.com/spreadsheets/d/1iNWbYmj0agxPDl_yJgGu1eIremFPVMUuMWUKAjBzvrk/edit?usp=sharing"",""รวมกลาง!S186"")+IMPORTRANGE(""https://docs.google.com/spreadsheets/d/1uenpWDAH2bchvfvsSIjpd4bRU5D1faxJOaE3"&amp;"4GQM5-c/edit?usp=sharing"",""รวมใต้!S186"")"),5525024.7)</f>
        <v>5525024.7000000002</v>
      </c>
      <c r="T188" s="42">
        <f t="shared" ca="1" si="147"/>
        <v>93.585194668191576</v>
      </c>
      <c r="U188" s="42">
        <f t="shared" ca="1" si="148"/>
        <v>89.783229315255213</v>
      </c>
    </row>
    <row r="189" spans="1:21" ht="18.75" x14ac:dyDescent="0.25">
      <c r="A189" s="142"/>
      <c r="B189" s="36"/>
      <c r="C189" s="36"/>
      <c r="D189" s="37" t="s">
        <v>22</v>
      </c>
      <c r="E189" s="36"/>
      <c r="F189" s="36"/>
      <c r="G189" s="38"/>
      <c r="H189" s="148" t="s">
        <v>14</v>
      </c>
      <c r="I189" s="149"/>
      <c r="J189" s="149"/>
      <c r="K189" s="150"/>
      <c r="L189" s="42">
        <f t="shared" ref="L189:N189" ca="1" si="151">L190+L191</f>
        <v>17546200</v>
      </c>
      <c r="M189" s="42">
        <f t="shared" ca="1" si="151"/>
        <v>17546200</v>
      </c>
      <c r="N189" s="42">
        <f t="shared" ca="1" si="151"/>
        <v>17545175.640000001</v>
      </c>
      <c r="O189" s="42">
        <f t="shared" ca="1" si="145"/>
        <v>99.994161926798967</v>
      </c>
      <c r="P189" s="42">
        <f t="shared" ca="1" si="146"/>
        <v>99.994161926798967</v>
      </c>
      <c r="Q189" s="42">
        <f t="shared" ref="Q189:S189" si="152">Q190+Q191</f>
        <v>0</v>
      </c>
      <c r="R189" s="42">
        <f t="shared" si="152"/>
        <v>0</v>
      </c>
      <c r="S189" s="42">
        <f t="shared" si="152"/>
        <v>0</v>
      </c>
      <c r="T189" s="42">
        <f t="shared" si="147"/>
        <v>0</v>
      </c>
      <c r="U189" s="42">
        <f t="shared" si="148"/>
        <v>0</v>
      </c>
    </row>
    <row r="190" spans="1:21" ht="18.75" x14ac:dyDescent="0.25">
      <c r="A190" s="142"/>
      <c r="B190" s="36"/>
      <c r="C190" s="36"/>
      <c r="D190" s="36"/>
      <c r="E190" s="43" t="s">
        <v>36</v>
      </c>
      <c r="F190" s="36"/>
      <c r="G190" s="38"/>
      <c r="H190" s="148" t="s">
        <v>14</v>
      </c>
      <c r="I190" s="149"/>
      <c r="J190" s="149"/>
      <c r="K190" s="150"/>
      <c r="L190" s="42">
        <f ca="1">IFERROR(__xludf.DUMMYFUNCTION("IMPORTRANGE(""https://docs.google.com/spreadsheets/d/1-uDff_7J0KD5mKrp0Vvzr7lt3OU09vwQwhkpOPPYv2Y/edit?usp=sharing"",""งบพรบ!CU9"")"),4186900)</f>
        <v>4186900</v>
      </c>
      <c r="M190" s="42">
        <f ca="1">IFERROR(__xludf.DUMMYFUNCTION("IMPORTRANGE(""https://docs.google.com/spreadsheets/d/1-uDff_7J0KD5mKrp0Vvzr7lt3OU09vwQwhkpOPPYv2Y/edit?usp=sharing"",""งบพรบ!CZ9"")"),2285873)</f>
        <v>2285873</v>
      </c>
      <c r="N190" s="42">
        <f ca="1">IFERROR(__xludf.DUMMYFUNCTION("IMPORTRANGE(""https://docs.google.com/spreadsheets/d/1-uDff_7J0KD5mKrp0Vvzr7lt3OU09vwQwhkpOPPYv2Y/edit?usp=sharing"",""งบพรบ!DB9"")"),2284849)</f>
        <v>2284849</v>
      </c>
      <c r="O190" s="42">
        <f t="shared" ca="1" si="145"/>
        <v>54.571377391387422</v>
      </c>
      <c r="P190" s="42">
        <f t="shared" ca="1" si="146"/>
        <v>99.955203110584009</v>
      </c>
      <c r="Q190" s="42">
        <v>0</v>
      </c>
      <c r="R190" s="42">
        <v>0</v>
      </c>
      <c r="S190" s="42">
        <v>0</v>
      </c>
      <c r="T190" s="42">
        <f t="shared" si="147"/>
        <v>0</v>
      </c>
      <c r="U190" s="42">
        <f t="shared" si="148"/>
        <v>0</v>
      </c>
    </row>
    <row r="191" spans="1:21" ht="18.75" x14ac:dyDescent="0.25">
      <c r="A191" s="142"/>
      <c r="B191" s="36"/>
      <c r="C191" s="36"/>
      <c r="D191" s="36"/>
      <c r="E191" s="43" t="s">
        <v>37</v>
      </c>
      <c r="F191" s="36"/>
      <c r="G191" s="38"/>
      <c r="H191" s="148" t="s">
        <v>14</v>
      </c>
      <c r="I191" s="149"/>
      <c r="J191" s="149"/>
      <c r="K191" s="150"/>
      <c r="L191" s="42">
        <f ca="1">IFERROR(__xludf.DUMMYFUNCTION("IMPORTRANGE(""https://docs.google.com/spreadsheets/d/12pGRKgvn2b31Uz_fjAl3XPzZUM_F2_O-zAHL2XHEPZg/edit?usp=sharing"",""รวมเหนือ!L191"")+IMPORTRANGE(""https://docs.google.com/spreadsheets/d/1c0UfJUA6nE6esVMy0kRcX_PENtt96DMxicQpqi3tips/edit?usp=sharing"","""&amp;"รวมตะวันออกเฉียงเหนือ!L191"")+IMPORTRANGE(""https://docs.google.com/spreadsheets/d/1iNWbYmj0agxPDl_yJgGu1eIremFPVMUuMWUKAjBzvrk/edit?usp=sharing"",""รวมกลาง!L191"")+IMPORTRANGE(""https://docs.google.com/spreadsheets/d/1uenpWDAH2bchvfvsSIjpd4bRU5D1faxJOaE3"&amp;"4GQM5-c/edit?usp=sharing"",""รวมใต้!L191"")"),13359300)</f>
        <v>13359300</v>
      </c>
      <c r="M191" s="42">
        <f ca="1">IFERROR(__xludf.DUMMYFUNCTION("IMPORTRANGE(""https://docs.google.com/spreadsheets/d/12pGRKgvn2b31Uz_fjAl3XPzZUM_F2_O-zAHL2XHEPZg/edit?usp=sharing"",""รวมเหนือ!M191"")+IMPORTRANGE(""https://docs.google.com/spreadsheets/d/1c0UfJUA6nE6esVMy0kRcX_PENtt96DMxicQpqi3tips/edit?usp=sharing"","""&amp;"รวมตะวันออกเฉียงเหนือ!M191"")+IMPORTRANGE(""https://docs.google.com/spreadsheets/d/1iNWbYmj0agxPDl_yJgGu1eIremFPVMUuMWUKAjBzvrk/edit?usp=sharing"",""รวมกลาง!M191"")+IMPORTRANGE(""https://docs.google.com/spreadsheets/d/1uenpWDAH2bchvfvsSIjpd4bRU5D1faxJOaE3"&amp;"4GQM5-c/edit?usp=sharing"",""รวมใต้!M191"")"),15260327)</f>
        <v>15260327</v>
      </c>
      <c r="N191" s="42">
        <f ca="1">IFERROR(__xludf.DUMMYFUNCTION("IMPORTRANGE(""https://docs.google.com/spreadsheets/d/12pGRKgvn2b31Uz_fjAl3XPzZUM_F2_O-zAHL2XHEPZg/edit?usp=sharing"",""รวมเหนือ!N191"")+IMPORTRANGE(""https://docs.google.com/spreadsheets/d/1c0UfJUA6nE6esVMy0kRcX_PENtt96DMxicQpqi3tips/edit?usp=sharing"","""&amp;"รวมตะวันออกเฉียงเหนือ!N191"")+IMPORTRANGE(""https://docs.google.com/spreadsheets/d/1iNWbYmj0agxPDl_yJgGu1eIremFPVMUuMWUKAjBzvrk/edit?usp=sharing"",""รวมกลาง!N191"")+IMPORTRANGE(""https://docs.google.com/spreadsheets/d/1uenpWDAH2bchvfvsSIjpd4bRU5D1faxJOaE3"&amp;"4GQM5-c/edit?usp=sharing"",""รวมใต้!N191"")"),15260326.64)</f>
        <v>15260326.640000001</v>
      </c>
      <c r="O191" s="42">
        <f t="shared" ca="1" si="145"/>
        <v>114.22998690051125</v>
      </c>
      <c r="P191" s="42">
        <f t="shared" ca="1" si="146"/>
        <v>99.999997640941771</v>
      </c>
      <c r="Q191" s="42">
        <v>0</v>
      </c>
      <c r="R191" s="42">
        <v>0</v>
      </c>
      <c r="S191" s="42">
        <v>0</v>
      </c>
      <c r="T191" s="42">
        <f t="shared" si="147"/>
        <v>0</v>
      </c>
      <c r="U191" s="42">
        <f t="shared" si="148"/>
        <v>0</v>
      </c>
    </row>
    <row r="192" spans="1:21" ht="18.75" x14ac:dyDescent="0.25">
      <c r="A192" s="142"/>
      <c r="B192" s="36"/>
      <c r="C192" s="36"/>
      <c r="D192" s="37" t="s">
        <v>23</v>
      </c>
      <c r="E192" s="36"/>
      <c r="F192" s="36"/>
      <c r="G192" s="38"/>
      <c r="H192" s="151" t="s">
        <v>14</v>
      </c>
      <c r="I192" s="149"/>
      <c r="J192" s="149"/>
      <c r="K192" s="150"/>
      <c r="L192" s="42">
        <f t="shared" ref="L192:N192" ca="1" si="153">L193+L194</f>
        <v>1652000</v>
      </c>
      <c r="M192" s="42">
        <f t="shared" ca="1" si="153"/>
        <v>1214450</v>
      </c>
      <c r="N192" s="42">
        <f t="shared" ca="1" si="153"/>
        <v>1214450</v>
      </c>
      <c r="O192" s="42">
        <f t="shared" ca="1" si="145"/>
        <v>73.513922518159802</v>
      </c>
      <c r="P192" s="42">
        <f t="shared" ca="1" si="146"/>
        <v>100</v>
      </c>
      <c r="Q192" s="42">
        <f t="shared" ref="Q192:S192" si="154">Q193+Q194</f>
        <v>0</v>
      </c>
      <c r="R192" s="42">
        <f t="shared" si="154"/>
        <v>0</v>
      </c>
      <c r="S192" s="42">
        <f t="shared" si="154"/>
        <v>0</v>
      </c>
      <c r="T192" s="42">
        <f t="shared" si="147"/>
        <v>0</v>
      </c>
      <c r="U192" s="42">
        <f t="shared" si="148"/>
        <v>0</v>
      </c>
    </row>
    <row r="193" spans="1:21" ht="18.75" x14ac:dyDescent="0.25">
      <c r="A193" s="142"/>
      <c r="B193" s="36"/>
      <c r="C193" s="36"/>
      <c r="D193" s="36"/>
      <c r="E193" s="43" t="s">
        <v>20</v>
      </c>
      <c r="F193" s="36"/>
      <c r="G193" s="38"/>
      <c r="H193" s="148" t="s">
        <v>14</v>
      </c>
      <c r="I193" s="149"/>
      <c r="J193" s="149"/>
      <c r="K193" s="150"/>
      <c r="L193" s="42">
        <f ca="1">IFERROR(__xludf.DUMMYFUNCTION("IMPORTRANGE(""https://docs.google.com/spreadsheets/d/12pGRKgvn2b31Uz_fjAl3XPzZUM_F2_O-zAHL2XHEPZg/edit?usp=sharing"",""รวมเหนือ!L193"")+IMPORTRANGE(""https://docs.google.com/spreadsheets/d/1c0UfJUA6nE6esVMy0kRcX_PENtt96DMxicQpqi3tips/edit?usp=sharing"","""&amp;"รวมตะวันออกเฉียงเหนือ!L193"")+IMPORTRANGE(""https://docs.google.com/spreadsheets/d/1iNWbYmj0agxPDl_yJgGu1eIremFPVMUuMWUKAjBzvrk/edit?usp=sharing"",""รวมกลาง!L193"")+IMPORTRANGE(""https://docs.google.com/spreadsheets/d/1uenpWDAH2bchvfvsSIjpd4bRU5D1faxJOaE3"&amp;"4GQM5-c/edit?usp=sharing"",""รวมใต้!L193"")"),0)</f>
        <v>0</v>
      </c>
      <c r="M193" s="42">
        <f ca="1">IFERROR(__xludf.DUMMYFUNCTION("IMPORTRANGE(""https://docs.google.com/spreadsheets/d/12pGRKgvn2b31Uz_fjAl3XPzZUM_F2_O-zAHL2XHEPZg/edit?usp=sharing"",""รวมเหนือ!M193"")+IMPORTRANGE(""https://docs.google.com/spreadsheets/d/1c0UfJUA6nE6esVMy0kRcX_PENtt96DMxicQpqi3tips/edit?usp=sharing"","""&amp;"รวมตะวันออกเฉียงเหนือ!M193"")+IMPORTRANGE(""https://docs.google.com/spreadsheets/d/1iNWbYmj0agxPDl_yJgGu1eIremFPVMUuMWUKAjBzvrk/edit?usp=sharing"",""รวมกลาง!M193"")+IMPORTRANGE(""https://docs.google.com/spreadsheets/d/1uenpWDAH2bchvfvsSIjpd4bRU5D1faxJOaE3"&amp;"4GQM5-c/edit?usp=sharing"",""รวมใต้!M193"")"),0)</f>
        <v>0</v>
      </c>
      <c r="N193" s="42">
        <f ca="1">IFERROR(__xludf.DUMMYFUNCTION("IMPORTRANGE(""https://docs.google.com/spreadsheets/d/12pGRKgvn2b31Uz_fjAl3XPzZUM_F2_O-zAHL2XHEPZg/edit?usp=sharing"",""รวมเหนือ!N193"")+IMPORTRANGE(""https://docs.google.com/spreadsheets/d/1c0UfJUA6nE6esVMy0kRcX_PENtt96DMxicQpqi3tips/edit?usp=sharing"","""&amp;"รวมตะวันออกเฉียงเหนือ!N193"")+IMPORTRANGE(""https://docs.google.com/spreadsheets/d/1iNWbYmj0agxPDl_yJgGu1eIremFPVMUuMWUKAjBzvrk/edit?usp=sharing"",""รวมกลาง!N193"")+IMPORTRANGE(""https://docs.google.com/spreadsheets/d/1uenpWDAH2bchvfvsSIjpd4bRU5D1faxJOaE3"&amp;"4GQM5-c/edit?usp=sharing"",""รวมใต้!N193"")"),0)</f>
        <v>0</v>
      </c>
      <c r="O193" s="42">
        <f t="shared" ca="1" si="145"/>
        <v>0</v>
      </c>
      <c r="P193" s="42">
        <f t="shared" ca="1" si="146"/>
        <v>0</v>
      </c>
      <c r="Q193" s="42">
        <v>0</v>
      </c>
      <c r="R193" s="42">
        <v>0</v>
      </c>
      <c r="S193" s="42">
        <v>0</v>
      </c>
      <c r="T193" s="42">
        <f t="shared" si="147"/>
        <v>0</v>
      </c>
      <c r="U193" s="42">
        <f t="shared" si="148"/>
        <v>0</v>
      </c>
    </row>
    <row r="194" spans="1:21" ht="18.75" x14ac:dyDescent="0.25">
      <c r="A194" s="142"/>
      <c r="B194" s="36"/>
      <c r="C194" s="36"/>
      <c r="D194" s="36"/>
      <c r="E194" s="43" t="s">
        <v>21</v>
      </c>
      <c r="F194" s="36"/>
      <c r="G194" s="38"/>
      <c r="H194" s="151" t="s">
        <v>14</v>
      </c>
      <c r="I194" s="149"/>
      <c r="J194" s="149"/>
      <c r="K194" s="150"/>
      <c r="L194" s="42">
        <f ca="1">IFERROR(__xludf.DUMMYFUNCTION("IMPORTRANGE(""https://docs.google.com/spreadsheets/d/12pGRKgvn2b31Uz_fjAl3XPzZUM_F2_O-zAHL2XHEPZg/edit?usp=sharing"",""รวมเหนือ!L194"")+IMPORTRANGE(""https://docs.google.com/spreadsheets/d/1c0UfJUA6nE6esVMy0kRcX_PENtt96DMxicQpqi3tips/edit?usp=sharing"","""&amp;"รวมตะวันออกเฉียงเหนือ!L194"")+IMPORTRANGE(""https://docs.google.com/spreadsheets/d/1iNWbYmj0agxPDl_yJgGu1eIremFPVMUuMWUKAjBzvrk/edit?usp=sharing"",""รวมกลาง!L194"")+IMPORTRANGE(""https://docs.google.com/spreadsheets/d/1uenpWDAH2bchvfvsSIjpd4bRU5D1faxJOaE3"&amp;"4GQM5-c/edit?usp=sharing"",""รวมใต้!L194"")"),1652000)</f>
        <v>1652000</v>
      </c>
      <c r="M194" s="42">
        <f ca="1">IFERROR(__xludf.DUMMYFUNCTION("IMPORTRANGE(""https://docs.google.com/spreadsheets/d/12pGRKgvn2b31Uz_fjAl3XPzZUM_F2_O-zAHL2XHEPZg/edit?usp=sharing"",""รวมเหนือ!M194"")+IMPORTRANGE(""https://docs.google.com/spreadsheets/d/1c0UfJUA6nE6esVMy0kRcX_PENtt96DMxicQpqi3tips/edit?usp=sharing"","""&amp;"รวมตะวันออกเฉียงเหนือ!M194"")+IMPORTRANGE(""https://docs.google.com/spreadsheets/d/1iNWbYmj0agxPDl_yJgGu1eIremFPVMUuMWUKAjBzvrk/edit?usp=sharing"",""รวมกลาง!M194"")+IMPORTRANGE(""https://docs.google.com/spreadsheets/d/1uenpWDAH2bchvfvsSIjpd4bRU5D1faxJOaE3"&amp;"4GQM5-c/edit?usp=sharing"",""รวมใต้!M194"")"),1214450)</f>
        <v>1214450</v>
      </c>
      <c r="N194" s="42">
        <f ca="1">IFERROR(__xludf.DUMMYFUNCTION("IMPORTRANGE(""https://docs.google.com/spreadsheets/d/12pGRKgvn2b31Uz_fjAl3XPzZUM_F2_O-zAHL2XHEPZg/edit?usp=sharing"",""รวมเหนือ!N194"")+IMPORTRANGE(""https://docs.google.com/spreadsheets/d/1c0UfJUA6nE6esVMy0kRcX_PENtt96DMxicQpqi3tips/edit?usp=sharing"","""&amp;"รวมตะวันออกเฉียงเหนือ!N194"")+IMPORTRANGE(""https://docs.google.com/spreadsheets/d/1iNWbYmj0agxPDl_yJgGu1eIremFPVMUuMWUKAjBzvrk/edit?usp=sharing"",""รวมกลาง!N194"")+IMPORTRANGE(""https://docs.google.com/spreadsheets/d/1uenpWDAH2bchvfvsSIjpd4bRU5D1faxJOaE3"&amp;"4GQM5-c/edit?usp=sharing"",""รวมใต้!N194"")"),1214450)</f>
        <v>1214450</v>
      </c>
      <c r="O194" s="42">
        <f t="shared" ca="1" si="145"/>
        <v>73.513922518159802</v>
      </c>
      <c r="P194" s="42">
        <f t="shared" ca="1" si="146"/>
        <v>100</v>
      </c>
      <c r="Q194" s="42">
        <v>0</v>
      </c>
      <c r="R194" s="42">
        <v>0</v>
      </c>
      <c r="S194" s="42">
        <v>0</v>
      </c>
      <c r="T194" s="42">
        <f t="shared" si="147"/>
        <v>0</v>
      </c>
      <c r="U194" s="42">
        <f t="shared" si="148"/>
        <v>0</v>
      </c>
    </row>
    <row r="195" spans="1:21" ht="19.5" x14ac:dyDescent="0.3">
      <c r="A195" s="216"/>
      <c r="B195" s="217"/>
      <c r="C195" s="218" t="s">
        <v>78</v>
      </c>
      <c r="D195" s="219"/>
      <c r="E195" s="219"/>
      <c r="F195" s="219"/>
      <c r="G195" s="220"/>
      <c r="H195" s="221" t="s">
        <v>79</v>
      </c>
      <c r="I195" s="222">
        <f t="shared" ref="I195:J195" ca="1" si="155">I198</f>
        <v>288</v>
      </c>
      <c r="J195" s="222">
        <f t="shared" ca="1" si="155"/>
        <v>288</v>
      </c>
      <c r="K195" s="223">
        <f ca="1">IF(I195&gt;0,J195*100/I195,0)</f>
        <v>100</v>
      </c>
      <c r="L195" s="224"/>
      <c r="M195" s="224"/>
      <c r="N195" s="224"/>
      <c r="O195" s="224"/>
      <c r="P195" s="224"/>
      <c r="Q195" s="224"/>
      <c r="R195" s="224"/>
      <c r="S195" s="224"/>
      <c r="T195" s="225"/>
      <c r="U195" s="225"/>
    </row>
    <row r="196" spans="1:21" ht="19.5" x14ac:dyDescent="0.3">
      <c r="A196" s="142"/>
      <c r="B196" s="36"/>
      <c r="C196" s="143" t="s">
        <v>18</v>
      </c>
      <c r="D196" s="226" t="s">
        <v>19</v>
      </c>
      <c r="E196" s="36"/>
      <c r="F196" s="36"/>
      <c r="G196" s="38"/>
      <c r="H196" s="227" t="s">
        <v>14</v>
      </c>
      <c r="I196" s="40"/>
      <c r="J196" s="40"/>
      <c r="K196" s="41"/>
      <c r="L196" s="146">
        <f ca="1">IFERROR(__xludf.DUMMYFUNCTION("IMPORTRANGE(""https://docs.google.com/spreadsheets/d/12pGRKgvn2b31Uz_fjAl3XPzZUM_F2_O-zAHL2XHEPZg/edit?usp=sharing"",""รวมเหนือ!L196"")+IMPORTRANGE(""https://docs.google.com/spreadsheets/d/1c0UfJUA6nE6esVMy0kRcX_PENtt96DMxicQpqi3tips/edit?usp=sharing"","""&amp;"รวมตะวันออกเฉียงเหนือ!L196"")+IMPORTRANGE(""https://docs.google.com/spreadsheets/d/1iNWbYmj0agxPDl_yJgGu1eIremFPVMUuMWUKAjBzvrk/edit?usp=sharing"",""รวมกลาง!L196"")+IMPORTRANGE(""https://docs.google.com/spreadsheets/d/1uenpWDAH2bchvfvsSIjpd4bRU5D1faxJOaE3"&amp;"4GQM5-c/edit?usp=sharing"",""รวมใต้!L196"")"),432000)</f>
        <v>432000</v>
      </c>
      <c r="M196" s="146">
        <f ca="1">IFERROR(__xludf.DUMMYFUNCTION("IMPORTRANGE(""https://docs.google.com/spreadsheets/d/12pGRKgvn2b31Uz_fjAl3XPzZUM_F2_O-zAHL2XHEPZg/edit?usp=sharing"",""รวมเหนือ!M196"")+IMPORTRANGE(""https://docs.google.com/spreadsheets/d/1c0UfJUA6nE6esVMy0kRcX_PENtt96DMxicQpqi3tips/edit?usp=sharing"","""&amp;"รวมตะวันออกเฉียงเหนือ!M196"")+IMPORTRANGE(""https://docs.google.com/spreadsheets/d/1iNWbYmj0agxPDl_yJgGu1eIremFPVMUuMWUKAjBzvrk/edit?usp=sharing"",""รวมกลาง!M196"")+IMPORTRANGE(""https://docs.google.com/spreadsheets/d/1uenpWDAH2bchvfvsSIjpd4bRU5D1faxJOaE3"&amp;"4GQM5-c/edit?usp=sharing"",""รวมใต้!M196"")"),0)</f>
        <v>0</v>
      </c>
      <c r="N196" s="146">
        <f ca="1">IFERROR(__xludf.DUMMYFUNCTION("IMPORTRANGE(""https://docs.google.com/spreadsheets/d/12pGRKgvn2b31Uz_fjAl3XPzZUM_F2_O-zAHL2XHEPZg/edit?usp=sharing"",""รวมเหนือ!N196"")+IMPORTRANGE(""https://docs.google.com/spreadsheets/d/1c0UfJUA6nE6esVMy0kRcX_PENtt96DMxicQpqi3tips/edit?usp=sharing"","""&amp;"รวมตะวันออกเฉียงเหนือ!N196"")+IMPORTRANGE(""https://docs.google.com/spreadsheets/d/1iNWbYmj0agxPDl_yJgGu1eIremFPVMUuMWUKAjBzvrk/edit?usp=sharing"",""รวมกลาง!N196"")+IMPORTRANGE(""https://docs.google.com/spreadsheets/d/1uenpWDAH2bchvfvsSIjpd4bRU5D1faxJOaE3"&amp;"4GQM5-c/edit?usp=sharing"",""รวมใต้!N196"")"),450000)</f>
        <v>450000</v>
      </c>
      <c r="O196" s="146">
        <f ca="1">IF(L196&gt;0,N196*100/L196,0)</f>
        <v>104.16666666666667</v>
      </c>
      <c r="P196" s="228"/>
      <c r="Q196" s="146">
        <f ca="1">IFERROR(__xludf.DUMMYFUNCTION("IMPORTRANGE(""https://docs.google.com/spreadsheets/d/12pGRKgvn2b31Uz_fjAl3XPzZUM_F2_O-zAHL2XHEPZg/edit?usp=sharing"",""รวมเหนือ!Q196"")+IMPORTRANGE(""https://docs.google.com/spreadsheets/d/1c0UfJUA6nE6esVMy0kRcX_PENtt96DMxicQpqi3tips/edit?usp=sharing"","""&amp;"รวมตะวันออกเฉียงเหนือ!Q196"")+IMPORTRANGE(""https://docs.google.com/spreadsheets/d/1iNWbYmj0agxPDl_yJgGu1eIremFPVMUuMWUKAjBzvrk/edit?usp=sharing"",""รวมกลาง!Q196"")+IMPORTRANGE(""https://docs.google.com/spreadsheets/d/1uenpWDAH2bchvfvsSIjpd4bRU5D1faxJOaE3"&amp;"4GQM5-c/edit?usp=sharing"",""รวมใต้!Q196"")"),0)</f>
        <v>0</v>
      </c>
      <c r="R196" s="146">
        <f ca="1">IFERROR(__xludf.DUMMYFUNCTION("IMPORTRANGE(""https://docs.google.com/spreadsheets/d/12pGRKgvn2b31Uz_fjAl3XPzZUM_F2_O-zAHL2XHEPZg/edit?usp=sharing"",""รวมเหนือ!R196"")+IMPORTRANGE(""https://docs.google.com/spreadsheets/d/1c0UfJUA6nE6esVMy0kRcX_PENtt96DMxicQpqi3tips/edit?usp=sharing"","""&amp;"รวมตะวันออกเฉียงเหนือ!R196"")+IMPORTRANGE(""https://docs.google.com/spreadsheets/d/1iNWbYmj0agxPDl_yJgGu1eIremFPVMUuMWUKAjBzvrk/edit?usp=sharing"",""รวมกลาง!R196"")+IMPORTRANGE(""https://docs.google.com/spreadsheets/d/1uenpWDAH2bchvfvsSIjpd4bRU5D1faxJOaE3"&amp;"4GQM5-c/edit?usp=sharing"",""รวมใต้!R196"")"),0)</f>
        <v>0</v>
      </c>
      <c r="S196" s="146">
        <f ca="1">IFERROR(__xludf.DUMMYFUNCTION("IMPORTRANGE(""https://docs.google.com/spreadsheets/d/12pGRKgvn2b31Uz_fjAl3XPzZUM_F2_O-zAHL2XHEPZg/edit?usp=sharing"",""รวมเหนือ!S196"")+IMPORTRANGE(""https://docs.google.com/spreadsheets/d/1c0UfJUA6nE6esVMy0kRcX_PENtt96DMxicQpqi3tips/edit?usp=sharing"","""&amp;"รวมตะวันออกเฉียงเหนือ!S196"")+IMPORTRANGE(""https://docs.google.com/spreadsheets/d/1iNWbYmj0agxPDl_yJgGu1eIremFPVMUuMWUKAjBzvrk/edit?usp=sharing"",""รวมกลาง!S196"")+IMPORTRANGE(""https://docs.google.com/spreadsheets/d/1uenpWDAH2bchvfvsSIjpd4bRU5D1faxJOaE3"&amp;"4GQM5-c/edit?usp=sharing"",""รวมใต้!S196"")"),0)</f>
        <v>0</v>
      </c>
      <c r="T196" s="228">
        <f ca="1">IF(Q196&gt;0,S196*100/Q196,0)</f>
        <v>0</v>
      </c>
      <c r="U196" s="228"/>
    </row>
    <row r="197" spans="1:21" ht="19.5" x14ac:dyDescent="0.3">
      <c r="A197" s="152"/>
      <c r="B197" s="153"/>
      <c r="C197" s="143" t="s">
        <v>18</v>
      </c>
      <c r="D197" s="154" t="s">
        <v>38</v>
      </c>
      <c r="E197" s="155"/>
      <c r="F197" s="155"/>
      <c r="G197" s="156"/>
      <c r="H197" s="157"/>
      <c r="I197" s="40"/>
      <c r="J197" s="40"/>
      <c r="K197" s="41"/>
      <c r="L197" s="41"/>
      <c r="M197" s="41"/>
      <c r="N197" s="41"/>
      <c r="O197" s="41"/>
      <c r="P197" s="41"/>
      <c r="Q197" s="41"/>
      <c r="R197" s="41"/>
      <c r="S197" s="41"/>
      <c r="T197" s="45"/>
      <c r="U197" s="45"/>
    </row>
    <row r="198" spans="1:21" ht="18.75" x14ac:dyDescent="0.25">
      <c r="A198" s="152"/>
      <c r="B198" s="153"/>
      <c r="C198" s="153"/>
      <c r="D198" s="163" t="s">
        <v>80</v>
      </c>
      <c r="E198" s="159"/>
      <c r="F198" s="159"/>
      <c r="G198" s="157"/>
      <c r="H198" s="164" t="s">
        <v>79</v>
      </c>
      <c r="I198" s="176">
        <f ca="1">IFERROR(__xludf.DUMMYFUNCTION("IMPORTRANGE(""https://docs.google.com/spreadsheets/d/12pGRKgvn2b31Uz_fjAl3XPzZUM_F2_O-zAHL2XHEPZg/edit?usp=sharing"",""รวมเหนือ!I198"")+IMPORTRANGE(""https://docs.google.com/spreadsheets/d/1c0UfJUA6nE6esVMy0kRcX_PENtt96DMxicQpqi3tips/edit?usp=sharing"","""&amp;"รวมตะวันออกเฉียงเหนือ!I198"")+IMPORTRANGE(""https://docs.google.com/spreadsheets/d/1iNWbYmj0agxPDl_yJgGu1eIremFPVMUuMWUKAjBzvrk/edit?usp=sharing"",""รวมกลาง!I198"")+IMPORTRANGE(""https://docs.google.com/spreadsheets/d/1uenpWDAH2bchvfvsSIjpd4bRU5D1faxJOaE3"&amp;"4GQM5-c/edit?usp=sharing"",""รวมใต้!I198"")"),288)</f>
        <v>288</v>
      </c>
      <c r="J198" s="176">
        <f ca="1">IFERROR(__xludf.DUMMYFUNCTION("IMPORTRANGE(""https://docs.google.com/spreadsheets/d/12pGRKgvn2b31Uz_fjAl3XPzZUM_F2_O-zAHL2XHEPZg/edit?usp=sharing"",""รวมเหนือ!J198"")+IMPORTRANGE(""https://docs.google.com/spreadsheets/d/1c0UfJUA6nE6esVMy0kRcX_PENtt96DMxicQpqi3tips/edit?usp=sharing"","""&amp;"รวมตะวันออกเฉียงเหนือ!J198"")+IMPORTRANGE(""https://docs.google.com/spreadsheets/d/1iNWbYmj0agxPDl_yJgGu1eIremFPVMUuMWUKAjBzvrk/edit?usp=sharing"",""รวมกลาง!J198"")+IMPORTRANGE(""https://docs.google.com/spreadsheets/d/1uenpWDAH2bchvfvsSIjpd4bRU5D1faxJOaE3"&amp;"4GQM5-c/edit?usp=sharing"",""รวมใต้!J198"")"),288)</f>
        <v>288</v>
      </c>
      <c r="K198" s="42">
        <f ca="1">IF(I198&gt;0,J198*100/I198,0)</f>
        <v>100</v>
      </c>
      <c r="L198" s="41"/>
      <c r="M198" s="41"/>
      <c r="N198" s="41"/>
      <c r="O198" s="41"/>
      <c r="P198" s="41"/>
      <c r="Q198" s="41"/>
      <c r="R198" s="41"/>
      <c r="S198" s="41"/>
      <c r="T198" s="45"/>
      <c r="U198" s="45"/>
    </row>
    <row r="199" spans="1:21" ht="19.5" x14ac:dyDescent="0.3">
      <c r="A199" s="152"/>
      <c r="B199" s="153"/>
      <c r="C199" s="153"/>
      <c r="D199" s="163" t="s">
        <v>81</v>
      </c>
      <c r="E199" s="159"/>
      <c r="F199" s="159"/>
      <c r="G199" s="157"/>
      <c r="H199" s="229" t="s">
        <v>35</v>
      </c>
      <c r="I199" s="40"/>
      <c r="J199" s="161">
        <f ca="1">J200+J201</f>
        <v>9653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5"/>
      <c r="U199" s="45"/>
    </row>
    <row r="200" spans="1:21" ht="18.75" x14ac:dyDescent="0.25">
      <c r="A200" s="152"/>
      <c r="B200" s="153"/>
      <c r="C200" s="153"/>
      <c r="D200" s="153"/>
      <c r="E200" s="163" t="s">
        <v>82</v>
      </c>
      <c r="F200" s="159"/>
      <c r="G200" s="157"/>
      <c r="H200" s="215" t="s">
        <v>35</v>
      </c>
      <c r="I200" s="40"/>
      <c r="J200" s="176">
        <f ca="1">IFERROR(__xludf.DUMMYFUNCTION("IMPORTRANGE(""https://docs.google.com/spreadsheets/d/12pGRKgvn2b31Uz_fjAl3XPzZUM_F2_O-zAHL2XHEPZg/edit?usp=sharing"",""รวมเหนือ!J200"")+IMPORTRANGE(""https://docs.google.com/spreadsheets/d/1c0UfJUA6nE6esVMy0kRcX_PENtt96DMxicQpqi3tips/edit?usp=sharing"","""&amp;"รวมตะวันออกเฉียงเหนือ!J200"")+IMPORTRANGE(""https://docs.google.com/spreadsheets/d/1iNWbYmj0agxPDl_yJgGu1eIremFPVMUuMWUKAjBzvrk/edit?usp=sharing"",""รวมกลาง!J200"")+IMPORTRANGE(""https://docs.google.com/spreadsheets/d/1uenpWDAH2bchvfvsSIjpd4bRU5D1faxJOaE3"&amp;"4GQM5-c/edit?usp=sharing"",""รวมใต้!J200"")"),9591)</f>
        <v>9591</v>
      </c>
      <c r="K200" s="41"/>
      <c r="L200" s="41"/>
      <c r="M200" s="41"/>
      <c r="N200" s="41"/>
      <c r="O200" s="41"/>
      <c r="P200" s="41"/>
      <c r="Q200" s="41"/>
      <c r="R200" s="41"/>
      <c r="S200" s="41"/>
      <c r="T200" s="45"/>
      <c r="U200" s="45"/>
    </row>
    <row r="201" spans="1:21" ht="18.75" x14ac:dyDescent="0.25">
      <c r="A201" s="152"/>
      <c r="B201" s="153"/>
      <c r="C201" s="153"/>
      <c r="D201" s="153"/>
      <c r="E201" s="163" t="s">
        <v>83</v>
      </c>
      <c r="F201" s="159"/>
      <c r="G201" s="157"/>
      <c r="H201" s="215" t="s">
        <v>35</v>
      </c>
      <c r="I201" s="40"/>
      <c r="J201" s="176">
        <f ca="1">IFERROR(__xludf.DUMMYFUNCTION("IMPORTRANGE(""https://docs.google.com/spreadsheets/d/12pGRKgvn2b31Uz_fjAl3XPzZUM_F2_O-zAHL2XHEPZg/edit?usp=sharing"",""รวมเหนือ!J201"")+IMPORTRANGE(""https://docs.google.com/spreadsheets/d/1c0UfJUA6nE6esVMy0kRcX_PENtt96DMxicQpqi3tips/edit?usp=sharing"","""&amp;"รวมตะวันออกเฉียงเหนือ!J201"")+IMPORTRANGE(""https://docs.google.com/spreadsheets/d/1iNWbYmj0agxPDl_yJgGu1eIremFPVMUuMWUKAjBzvrk/edit?usp=sharing"",""รวมกลาง!J201"")+IMPORTRANGE(""https://docs.google.com/spreadsheets/d/1uenpWDAH2bchvfvsSIjpd4bRU5D1faxJOaE3"&amp;"4GQM5-c/edit?usp=sharing"",""รวมใต้!J201"")"),62)</f>
        <v>62</v>
      </c>
      <c r="K201" s="41"/>
      <c r="L201" s="41"/>
      <c r="M201" s="41"/>
      <c r="N201" s="41"/>
      <c r="O201" s="41"/>
      <c r="P201" s="41"/>
      <c r="Q201" s="41"/>
      <c r="R201" s="41"/>
      <c r="S201" s="41"/>
      <c r="T201" s="45"/>
      <c r="U201" s="45"/>
    </row>
    <row r="202" spans="1:21" ht="19.5" x14ac:dyDescent="0.3">
      <c r="A202" s="216"/>
      <c r="B202" s="217"/>
      <c r="C202" s="218" t="s">
        <v>84</v>
      </c>
      <c r="D202" s="219"/>
      <c r="E202" s="219"/>
      <c r="F202" s="219"/>
      <c r="G202" s="220"/>
      <c r="H202" s="230" t="s">
        <v>85</v>
      </c>
      <c r="I202" s="222">
        <f t="shared" ref="I202:J202" ca="1" si="156">I209</f>
        <v>173</v>
      </c>
      <c r="J202" s="222">
        <f t="shared" ca="1" si="156"/>
        <v>173</v>
      </c>
      <c r="K202" s="223">
        <f ca="1">IF(I202&gt;0,J202*100/I202,0)</f>
        <v>100</v>
      </c>
      <c r="L202" s="224"/>
      <c r="M202" s="224"/>
      <c r="N202" s="224"/>
      <c r="O202" s="224"/>
      <c r="P202" s="224"/>
      <c r="Q202" s="224"/>
      <c r="R202" s="224"/>
      <c r="S202" s="224"/>
      <c r="T202" s="225"/>
      <c r="U202" s="225"/>
    </row>
    <row r="203" spans="1:21" ht="19.5" x14ac:dyDescent="0.3">
      <c r="A203" s="142"/>
      <c r="B203" s="36"/>
      <c r="C203" s="143" t="s">
        <v>18</v>
      </c>
      <c r="D203" s="226" t="s">
        <v>19</v>
      </c>
      <c r="E203" s="36"/>
      <c r="F203" s="36"/>
      <c r="G203" s="38"/>
      <c r="H203" s="227" t="s">
        <v>14</v>
      </c>
      <c r="I203" s="149"/>
      <c r="J203" s="149"/>
      <c r="K203" s="150"/>
      <c r="L203" s="146">
        <f t="shared" ref="L203:N203" ca="1" si="157">L204+L205+L206+L207</f>
        <v>1049162</v>
      </c>
      <c r="M203" s="146">
        <f t="shared" ca="1" si="157"/>
        <v>0</v>
      </c>
      <c r="N203" s="146">
        <f t="shared" ca="1" si="157"/>
        <v>1049162</v>
      </c>
      <c r="O203" s="146">
        <f ca="1">IF(L203&gt;0,N203*100/L203,0)</f>
        <v>100</v>
      </c>
      <c r="P203" s="231"/>
      <c r="Q203" s="146">
        <f t="shared" ref="Q203:S203" ca="1" si="158">Q204+Q205+Q206+Q207</f>
        <v>2283838</v>
      </c>
      <c r="R203" s="146">
        <f t="shared" ca="1" si="158"/>
        <v>0</v>
      </c>
      <c r="S203" s="146">
        <f t="shared" ca="1" si="158"/>
        <v>2162804.7000000002</v>
      </c>
      <c r="T203" s="228">
        <f ca="1">IF(Q203&gt;0,S203*100/Q203,0)</f>
        <v>94.700442851025343</v>
      </c>
      <c r="U203" s="228"/>
    </row>
    <row r="204" spans="1:21" ht="18.75" x14ac:dyDescent="0.25">
      <c r="A204" s="142"/>
      <c r="B204" s="170"/>
      <c r="C204" s="36"/>
      <c r="D204" s="43" t="s">
        <v>86</v>
      </c>
      <c r="E204" s="36"/>
      <c r="F204" s="36"/>
      <c r="G204" s="38"/>
      <c r="H204" s="148" t="s">
        <v>14</v>
      </c>
      <c r="I204" s="149"/>
      <c r="J204" s="149"/>
      <c r="K204" s="150"/>
      <c r="L204" s="42">
        <f ca="1">IFERROR(__xludf.DUMMYFUNCTION("IMPORTRANGE(""https://docs.google.com/spreadsheets/d/12pGRKgvn2b31Uz_fjAl3XPzZUM_F2_O-zAHL2XHEPZg/edit?usp=sharing"",""รวมเหนือ!L204"")+IMPORTRANGE(""https://docs.google.com/spreadsheets/d/1c0UfJUA6nE6esVMy0kRcX_PENtt96DMxicQpqi3tips/edit?usp=sharing"","""&amp;"รวมตะวันออกเฉียงเหนือ!L204"")+IMPORTRANGE(""https://docs.google.com/spreadsheets/d/1iNWbYmj0agxPDl_yJgGu1eIremFPVMUuMWUKAjBzvrk/edit?usp=sharing"",""รวมกลาง!L204"")+IMPORTRANGE(""https://docs.google.com/spreadsheets/d/1uenpWDAH2bchvfvsSIjpd4bRU5D1faxJOaE3"&amp;"4GQM5-c/edit?usp=sharing"",""รวมใต้!L204"")"),173000)</f>
        <v>173000</v>
      </c>
      <c r="M204" s="42">
        <f ca="1">IFERROR(__xludf.DUMMYFUNCTION("IMPORTRANGE(""https://docs.google.com/spreadsheets/d/12pGRKgvn2b31Uz_fjAl3XPzZUM_F2_O-zAHL2XHEPZg/edit?usp=sharing"",""รวมเหนือ!M204"")+IMPORTRANGE(""https://docs.google.com/spreadsheets/d/1c0UfJUA6nE6esVMy0kRcX_PENtt96DMxicQpqi3tips/edit?usp=sharing"","""&amp;"รวมตะวันออกเฉียงเหนือ!M204"")+IMPORTRANGE(""https://docs.google.com/spreadsheets/d/1iNWbYmj0agxPDl_yJgGu1eIremFPVMUuMWUKAjBzvrk/edit?usp=sharing"",""รวมกลาง!M204"")+IMPORTRANGE(""https://docs.google.com/spreadsheets/d/1uenpWDAH2bchvfvsSIjpd4bRU5D1faxJOaE3"&amp;"4GQM5-c/edit?usp=sharing"",""รวมใต้!M204"")"),0)</f>
        <v>0</v>
      </c>
      <c r="N204" s="42">
        <f ca="1">IFERROR(__xludf.DUMMYFUNCTION("IMPORTRANGE(""https://docs.google.com/spreadsheets/d/12pGRKgvn2b31Uz_fjAl3XPzZUM_F2_O-zAHL2XHEPZg/edit?usp=sharing"",""รวมเหนือ!N204"")+IMPORTRANGE(""https://docs.google.com/spreadsheets/d/1c0UfJUA6nE6esVMy0kRcX_PENtt96DMxicQpqi3tips/edit?usp=sharing"","""&amp;"รวมตะวันออกเฉียงเหนือ!N204"")+IMPORTRANGE(""https://docs.google.com/spreadsheets/d/1iNWbYmj0agxPDl_yJgGu1eIremFPVMUuMWUKAjBzvrk/edit?usp=sharing"",""รวมกลาง!N204"")+IMPORTRANGE(""https://docs.google.com/spreadsheets/d/1uenpWDAH2bchvfvsSIjpd4bRU5D1faxJOaE3"&amp;"4GQM5-c/edit?usp=sharing"",""รวมใต้!N204"")"),166905)</f>
        <v>166905</v>
      </c>
      <c r="O204" s="150"/>
      <c r="P204" s="41"/>
      <c r="Q204" s="42">
        <f ca="1">IFERROR(__xludf.DUMMYFUNCTION("IMPORTRANGE(""https://docs.google.com/spreadsheets/d/12pGRKgvn2b31Uz_fjAl3XPzZUM_F2_O-zAHL2XHEPZg/edit?usp=sharing"",""รวมเหนือ!Q204"")+IMPORTRANGE(""https://docs.google.com/spreadsheets/d/1c0UfJUA6nE6esVMy0kRcX_PENtt96DMxicQpqi3tips/edit?usp=sharing"","""&amp;"รวมตะวันออกเฉียงเหนือ!Q204"")+IMPORTRANGE(""https://docs.google.com/spreadsheets/d/1iNWbYmj0agxPDl_yJgGu1eIremFPVMUuMWUKAjBzvrk/edit?usp=sharing"",""รวมกลาง!Q204"")+IMPORTRANGE(""https://docs.google.com/spreadsheets/d/1uenpWDAH2bchvfvsSIjpd4bRU5D1faxJOaE3"&amp;"4GQM5-c/edit?usp=sharing"",""รวมใต้!Q204"")"),0)</f>
        <v>0</v>
      </c>
      <c r="R204" s="42">
        <f ca="1">IFERROR(__xludf.DUMMYFUNCTION("IMPORTRANGE(""https://docs.google.com/spreadsheets/d/12pGRKgvn2b31Uz_fjAl3XPzZUM_F2_O-zAHL2XHEPZg/edit?usp=sharing"",""รวมเหนือ!R204"")+IMPORTRANGE(""https://docs.google.com/spreadsheets/d/1c0UfJUA6nE6esVMy0kRcX_PENtt96DMxicQpqi3tips/edit?usp=sharing"","""&amp;"รวมตะวันออกเฉียงเหนือ!R204"")+IMPORTRANGE(""https://docs.google.com/spreadsheets/d/1iNWbYmj0agxPDl_yJgGu1eIremFPVMUuMWUKAjBzvrk/edit?usp=sharing"",""รวมกลาง!R204"")+IMPORTRANGE(""https://docs.google.com/spreadsheets/d/1uenpWDAH2bchvfvsSIjpd4bRU5D1faxJOaE3"&amp;"4GQM5-c/edit?usp=sharing"",""รวมใต้!R204"")"),0)</f>
        <v>0</v>
      </c>
      <c r="S204" s="42">
        <f ca="1">IFERROR(__xludf.DUMMYFUNCTION("IMPORTRANGE(""https://docs.google.com/spreadsheets/d/12pGRKgvn2b31Uz_fjAl3XPzZUM_F2_O-zAHL2XHEPZg/edit?usp=sharing"",""รวมเหนือ!S204"")+IMPORTRANGE(""https://docs.google.com/spreadsheets/d/1c0UfJUA6nE6esVMy0kRcX_PENtt96DMxicQpqi3tips/edit?usp=sharing"","""&amp;"รวมตะวันออกเฉียงเหนือ!S204"")+IMPORTRANGE(""https://docs.google.com/spreadsheets/d/1iNWbYmj0agxPDl_yJgGu1eIremFPVMUuMWUKAjBzvrk/edit?usp=sharing"",""รวมกลาง!S204"")+IMPORTRANGE(""https://docs.google.com/spreadsheets/d/1uenpWDAH2bchvfvsSIjpd4bRU5D1faxJOaE3"&amp;"4GQM5-c/edit?usp=sharing"",""รวมใต้!S204"")"),0)</f>
        <v>0</v>
      </c>
      <c r="T204" s="232"/>
      <c r="U204" s="45"/>
    </row>
    <row r="205" spans="1:21" ht="18.75" x14ac:dyDescent="0.25">
      <c r="A205" s="213"/>
      <c r="B205" s="170"/>
      <c r="C205" s="36"/>
      <c r="D205" s="43" t="s">
        <v>87</v>
      </c>
      <c r="E205" s="36"/>
      <c r="F205" s="36"/>
      <c r="G205" s="38"/>
      <c r="H205" s="39" t="s">
        <v>14</v>
      </c>
      <c r="I205" s="40"/>
      <c r="J205" s="40"/>
      <c r="K205" s="41"/>
      <c r="L205" s="42">
        <v>0</v>
      </c>
      <c r="M205" s="42">
        <v>0</v>
      </c>
      <c r="N205" s="42">
        <v>0</v>
      </c>
      <c r="O205" s="150"/>
      <c r="P205" s="41"/>
      <c r="Q205" s="42">
        <v>0</v>
      </c>
      <c r="R205" s="42">
        <v>0</v>
      </c>
      <c r="S205" s="42">
        <v>0</v>
      </c>
      <c r="T205" s="232"/>
      <c r="U205" s="45"/>
    </row>
    <row r="206" spans="1:21" ht="18.75" x14ac:dyDescent="0.25">
      <c r="A206" s="213"/>
      <c r="B206" s="170"/>
      <c r="C206" s="36"/>
      <c r="D206" s="43" t="s">
        <v>88</v>
      </c>
      <c r="E206" s="36"/>
      <c r="F206" s="36"/>
      <c r="G206" s="38"/>
      <c r="H206" s="39" t="s">
        <v>14</v>
      </c>
      <c r="I206" s="40"/>
      <c r="J206" s="40"/>
      <c r="K206" s="41"/>
      <c r="L206" s="42">
        <f ca="1">IFERROR(__xludf.DUMMYFUNCTION("IMPORTRANGE(""https://docs.google.com/spreadsheets/d/12pGRKgvn2b31Uz_fjAl3XPzZUM_F2_O-zAHL2XHEPZg/edit?usp=sharing"",""รวมเหนือ!L206"")+IMPORTRANGE(""https://docs.google.com/spreadsheets/d/1c0UfJUA6nE6esVMy0kRcX_PENtt96DMxicQpqi3tips/edit?usp=sharing"","""&amp;"รวมตะวันออกเฉียงเหนือ!L206"")+IMPORTRANGE(""https://docs.google.com/spreadsheets/d/1iNWbYmj0agxPDl_yJgGu1eIremFPVMUuMWUKAjBzvrk/edit?usp=sharing"",""รวมกลาง!L206"")+IMPORTRANGE(""https://docs.google.com/spreadsheets/d/1uenpWDAH2bchvfvsSIjpd4bRU5D1faxJOaE3"&amp;"4GQM5-c/edit?usp=sharing"",""รวมใต้!L206"")"),84162)</f>
        <v>84162</v>
      </c>
      <c r="M206" s="42">
        <f ca="1">IFERROR(__xludf.DUMMYFUNCTION("IMPORTRANGE(""https://docs.google.com/spreadsheets/d/12pGRKgvn2b31Uz_fjAl3XPzZUM_F2_O-zAHL2XHEPZg/edit?usp=sharing"",""รวมเหนือ!M206"")+IMPORTRANGE(""https://docs.google.com/spreadsheets/d/1c0UfJUA6nE6esVMy0kRcX_PENtt96DMxicQpqi3tips/edit?usp=sharing"","""&amp;"รวมตะวันออกเฉียงเหนือ!M206"")+IMPORTRANGE(""https://docs.google.com/spreadsheets/d/1iNWbYmj0agxPDl_yJgGu1eIremFPVMUuMWUKAjBzvrk/edit?usp=sharing"",""รวมกลาง!M206"")+IMPORTRANGE(""https://docs.google.com/spreadsheets/d/1uenpWDAH2bchvfvsSIjpd4bRU5D1faxJOaE3"&amp;"4GQM5-c/edit?usp=sharing"",""รวมใต้!M206"")"),0)</f>
        <v>0</v>
      </c>
      <c r="N206" s="42">
        <f ca="1">IFERROR(__xludf.DUMMYFUNCTION("IMPORTRANGE(""https://docs.google.com/spreadsheets/d/12pGRKgvn2b31Uz_fjAl3XPzZUM_F2_O-zAHL2XHEPZg/edit?usp=sharing"",""รวมเหนือ!N206"")+IMPORTRANGE(""https://docs.google.com/spreadsheets/d/1c0UfJUA6nE6esVMy0kRcX_PENtt96DMxicQpqi3tips/edit?usp=sharing"","""&amp;"รวมตะวันออกเฉียงเหนือ!N206"")+IMPORTRANGE(""https://docs.google.com/spreadsheets/d/1iNWbYmj0agxPDl_yJgGu1eIremFPVMUuMWUKAjBzvrk/edit?usp=sharing"",""รวมกลาง!N206"")+IMPORTRANGE(""https://docs.google.com/spreadsheets/d/1uenpWDAH2bchvfvsSIjpd4bRU5D1faxJOaE3"&amp;"4GQM5-c/edit?usp=sharing"",""รวมใต้!N206"")"),84747)</f>
        <v>84747</v>
      </c>
      <c r="O206" s="150"/>
      <c r="P206" s="41"/>
      <c r="Q206" s="42">
        <f ca="1">IFERROR(__xludf.DUMMYFUNCTION("IMPORTRANGE(""https://docs.google.com/spreadsheets/d/12pGRKgvn2b31Uz_fjAl3XPzZUM_F2_O-zAHL2XHEPZg/edit?usp=sharing"",""รวมเหนือ!Q206"")+IMPORTRANGE(""https://docs.google.com/spreadsheets/d/1c0UfJUA6nE6esVMy0kRcX_PENtt96DMxicQpqi3tips/edit?usp=sharing"","""&amp;"รวมตะวันออกเฉียงเหนือ!Q206"")+IMPORTRANGE(""https://docs.google.com/spreadsheets/d/1iNWbYmj0agxPDl_yJgGu1eIremFPVMUuMWUKAjBzvrk/edit?usp=sharing"",""รวมกลาง!Q206"")+IMPORTRANGE(""https://docs.google.com/spreadsheets/d/1uenpWDAH2bchvfvsSIjpd4bRU5D1faxJOaE3"&amp;"4GQM5-c/edit?usp=sharing"",""รวมใต้!Q206"")"),2283838)</f>
        <v>2283838</v>
      </c>
      <c r="R206" s="42">
        <f ca="1">IFERROR(__xludf.DUMMYFUNCTION("IMPORTRANGE(""https://docs.google.com/spreadsheets/d/12pGRKgvn2b31Uz_fjAl3XPzZUM_F2_O-zAHL2XHEPZg/edit?usp=sharing"",""รวมเหนือ!R206"")+IMPORTRANGE(""https://docs.google.com/spreadsheets/d/1c0UfJUA6nE6esVMy0kRcX_PENtt96DMxicQpqi3tips/edit?usp=sharing"","""&amp;"รวมตะวันออกเฉียงเหนือ!R206"")+IMPORTRANGE(""https://docs.google.com/spreadsheets/d/1iNWbYmj0agxPDl_yJgGu1eIremFPVMUuMWUKAjBzvrk/edit?usp=sharing"",""รวมกลาง!R206"")+IMPORTRANGE(""https://docs.google.com/spreadsheets/d/1uenpWDAH2bchvfvsSIjpd4bRU5D1faxJOaE3"&amp;"4GQM5-c/edit?usp=sharing"",""รวมใต้!R206"")"),0)</f>
        <v>0</v>
      </c>
      <c r="S206" s="42">
        <f ca="1">IFERROR(__xludf.DUMMYFUNCTION("IMPORTRANGE(""https://docs.google.com/spreadsheets/d/12pGRKgvn2b31Uz_fjAl3XPzZUM_F2_O-zAHL2XHEPZg/edit?usp=sharing"",""รวมเหนือ!S206"")+IMPORTRANGE(""https://docs.google.com/spreadsheets/d/1c0UfJUA6nE6esVMy0kRcX_PENtt96DMxicQpqi3tips/edit?usp=sharing"","""&amp;"รวมตะวันออกเฉียงเหนือ!S206"")+IMPORTRANGE(""https://docs.google.com/spreadsheets/d/1iNWbYmj0agxPDl_yJgGu1eIremFPVMUuMWUKAjBzvrk/edit?usp=sharing"",""รวมกลาง!S206"")+IMPORTRANGE(""https://docs.google.com/spreadsheets/d/1uenpWDAH2bchvfvsSIjpd4bRU5D1faxJOaE3"&amp;"4GQM5-c/edit?usp=sharing"",""รวมใต้!S206"")"),2162804.7)</f>
        <v>2162804.7000000002</v>
      </c>
      <c r="T206" s="232"/>
      <c r="U206" s="45"/>
    </row>
    <row r="207" spans="1:21" ht="18.75" x14ac:dyDescent="0.25">
      <c r="A207" s="213"/>
      <c r="B207" s="170"/>
      <c r="C207" s="36"/>
      <c r="D207" s="43" t="s">
        <v>89</v>
      </c>
      <c r="E207" s="36"/>
      <c r="F207" s="36"/>
      <c r="G207" s="38"/>
      <c r="H207" s="39" t="s">
        <v>14</v>
      </c>
      <c r="I207" s="40"/>
      <c r="J207" s="40"/>
      <c r="K207" s="41"/>
      <c r="L207" s="42">
        <f ca="1">IFERROR(__xludf.DUMMYFUNCTION("IMPORTRANGE(""https://docs.google.com/spreadsheets/d/12pGRKgvn2b31Uz_fjAl3XPzZUM_F2_O-zAHL2XHEPZg/edit?usp=sharing"",""รวมเหนือ!L207"")+IMPORTRANGE(""https://docs.google.com/spreadsheets/d/1c0UfJUA6nE6esVMy0kRcX_PENtt96DMxicQpqi3tips/edit?usp=sharing"","""&amp;"รวมตะวันออกเฉียงเหนือ!L207"")+IMPORTRANGE(""https://docs.google.com/spreadsheets/d/1iNWbYmj0agxPDl_yJgGu1eIremFPVMUuMWUKAjBzvrk/edit?usp=sharing"",""รวมกลาง!L207"")+IMPORTRANGE(""https://docs.google.com/spreadsheets/d/1uenpWDAH2bchvfvsSIjpd4bRU5D1faxJOaE3"&amp;"4GQM5-c/edit?usp=sharing"",""รวมใต้!L207"")"),792000)</f>
        <v>792000</v>
      </c>
      <c r="M207" s="42">
        <f ca="1">IFERROR(__xludf.DUMMYFUNCTION("IMPORTRANGE(""https://docs.google.com/spreadsheets/d/12pGRKgvn2b31Uz_fjAl3XPzZUM_F2_O-zAHL2XHEPZg/edit?usp=sharing"",""รวมเหนือ!M207"")+IMPORTRANGE(""https://docs.google.com/spreadsheets/d/1c0UfJUA6nE6esVMy0kRcX_PENtt96DMxicQpqi3tips/edit?usp=sharing"","""&amp;"รวมตะวันออกเฉียงเหนือ!M207"")+IMPORTRANGE(""https://docs.google.com/spreadsheets/d/1iNWbYmj0agxPDl_yJgGu1eIremFPVMUuMWUKAjBzvrk/edit?usp=sharing"",""รวมกลาง!M207"")+IMPORTRANGE(""https://docs.google.com/spreadsheets/d/1uenpWDAH2bchvfvsSIjpd4bRU5D1faxJOaE3"&amp;"4GQM5-c/edit?usp=sharing"",""รวมใต้!M207"")"),0)</f>
        <v>0</v>
      </c>
      <c r="N207" s="42">
        <f ca="1">IFERROR(__xludf.DUMMYFUNCTION("IMPORTRANGE(""https://docs.google.com/spreadsheets/d/12pGRKgvn2b31Uz_fjAl3XPzZUM_F2_O-zAHL2XHEPZg/edit?usp=sharing"",""รวมเหนือ!N207"")+IMPORTRANGE(""https://docs.google.com/spreadsheets/d/1c0UfJUA6nE6esVMy0kRcX_PENtt96DMxicQpqi3tips/edit?usp=sharing"","""&amp;"รวมตะวันออกเฉียงเหนือ!N207"")+IMPORTRANGE(""https://docs.google.com/spreadsheets/d/1iNWbYmj0agxPDl_yJgGu1eIremFPVMUuMWUKAjBzvrk/edit?usp=sharing"",""รวมกลาง!N207"")+IMPORTRANGE(""https://docs.google.com/spreadsheets/d/1uenpWDAH2bchvfvsSIjpd4bRU5D1faxJOaE3"&amp;"4GQM5-c/edit?usp=sharing"",""รวมใต้!N207"")"),797510)</f>
        <v>797510</v>
      </c>
      <c r="O207" s="150"/>
      <c r="P207" s="41"/>
      <c r="Q207" s="42">
        <f ca="1">IFERROR(__xludf.DUMMYFUNCTION("IMPORTRANGE(""https://docs.google.com/spreadsheets/d/12pGRKgvn2b31Uz_fjAl3XPzZUM_F2_O-zAHL2XHEPZg/edit?usp=sharing"",""รวมเหนือ!Q207"")+IMPORTRANGE(""https://docs.google.com/spreadsheets/d/1c0UfJUA6nE6esVMy0kRcX_PENtt96DMxicQpqi3tips/edit?usp=sharing"","""&amp;"รวมตะวันออกเฉียงเหนือ!Q207"")+IMPORTRANGE(""https://docs.google.com/spreadsheets/d/1iNWbYmj0agxPDl_yJgGu1eIremFPVMUuMWUKAjBzvrk/edit?usp=sharing"",""รวมกลาง!Q207"")+IMPORTRANGE(""https://docs.google.com/spreadsheets/d/1uenpWDAH2bchvfvsSIjpd4bRU5D1faxJOaE3"&amp;"4GQM5-c/edit?usp=sharing"",""รวมใต้!Q207"")"),0)</f>
        <v>0</v>
      </c>
      <c r="R207" s="42">
        <f ca="1">IFERROR(__xludf.DUMMYFUNCTION("IMPORTRANGE(""https://docs.google.com/spreadsheets/d/12pGRKgvn2b31Uz_fjAl3XPzZUM_F2_O-zAHL2XHEPZg/edit?usp=sharing"",""รวมเหนือ!R207"")+IMPORTRANGE(""https://docs.google.com/spreadsheets/d/1c0UfJUA6nE6esVMy0kRcX_PENtt96DMxicQpqi3tips/edit?usp=sharing"","""&amp;"รวมตะวันออกเฉียงเหนือ!R207"")+IMPORTRANGE(""https://docs.google.com/spreadsheets/d/1iNWbYmj0agxPDl_yJgGu1eIremFPVMUuMWUKAjBzvrk/edit?usp=sharing"",""รวมกลาง!R207"")+IMPORTRANGE(""https://docs.google.com/spreadsheets/d/1uenpWDAH2bchvfvsSIjpd4bRU5D1faxJOaE3"&amp;"4GQM5-c/edit?usp=sharing"",""รวมใต้!R207"")"),0)</f>
        <v>0</v>
      </c>
      <c r="S207" s="42">
        <f ca="1">IFERROR(__xludf.DUMMYFUNCTION("IMPORTRANGE(""https://docs.google.com/spreadsheets/d/12pGRKgvn2b31Uz_fjAl3XPzZUM_F2_O-zAHL2XHEPZg/edit?usp=sharing"",""รวมเหนือ!S207"")+IMPORTRANGE(""https://docs.google.com/spreadsheets/d/1c0UfJUA6nE6esVMy0kRcX_PENtt96DMxicQpqi3tips/edit?usp=sharing"","""&amp;"รวมตะวันออกเฉียงเหนือ!S207"")+IMPORTRANGE(""https://docs.google.com/spreadsheets/d/1iNWbYmj0agxPDl_yJgGu1eIremFPVMUuMWUKAjBzvrk/edit?usp=sharing"",""รวมกลาง!S207"")+IMPORTRANGE(""https://docs.google.com/spreadsheets/d/1uenpWDAH2bchvfvsSIjpd4bRU5D1faxJOaE3"&amp;"4GQM5-c/edit?usp=sharing"",""รวมใต้!S207"")"),0)</f>
        <v>0</v>
      </c>
      <c r="T207" s="232"/>
      <c r="U207" s="45"/>
    </row>
    <row r="208" spans="1:21" ht="19.5" x14ac:dyDescent="0.3">
      <c r="A208" s="152"/>
      <c r="B208" s="153"/>
      <c r="C208" s="143" t="s">
        <v>18</v>
      </c>
      <c r="D208" s="154" t="s">
        <v>38</v>
      </c>
      <c r="E208" s="155"/>
      <c r="F208" s="155"/>
      <c r="G208" s="156"/>
      <c r="H208" s="157"/>
      <c r="I208" s="149"/>
      <c r="J208" s="149"/>
      <c r="K208" s="150"/>
      <c r="L208" s="150"/>
      <c r="M208" s="150"/>
      <c r="N208" s="150"/>
      <c r="O208" s="150"/>
      <c r="P208" s="150"/>
      <c r="Q208" s="150"/>
      <c r="R208" s="150"/>
      <c r="S208" s="150"/>
      <c r="T208" s="232"/>
      <c r="U208" s="232"/>
    </row>
    <row r="209" spans="1:21" ht="18.75" x14ac:dyDescent="0.25">
      <c r="A209" s="152"/>
      <c r="B209" s="153"/>
      <c r="C209" s="153"/>
      <c r="D209" s="158" t="s">
        <v>90</v>
      </c>
      <c r="E209" s="159"/>
      <c r="F209" s="159"/>
      <c r="G209" s="157"/>
      <c r="H209" s="233" t="s">
        <v>85</v>
      </c>
      <c r="I209" s="176">
        <f ca="1">IFERROR(__xludf.DUMMYFUNCTION("IMPORTRANGE(""https://docs.google.com/spreadsheets/d/12pGRKgvn2b31Uz_fjAl3XPzZUM_F2_O-zAHL2XHEPZg/edit?usp=sharing"",""รวมเหนือ!I209"")+IMPORTRANGE(""https://docs.google.com/spreadsheets/d/1c0UfJUA6nE6esVMy0kRcX_PENtt96DMxicQpqi3tips/edit?usp=sharing"","""&amp;"รวมตะวันออกเฉียงเหนือ!I209"")+IMPORTRANGE(""https://docs.google.com/spreadsheets/d/1iNWbYmj0agxPDl_yJgGu1eIremFPVMUuMWUKAjBzvrk/edit?usp=sharing"",""รวมกลาง!I209"")+IMPORTRANGE(""https://docs.google.com/spreadsheets/d/1uenpWDAH2bchvfvsSIjpd4bRU5D1faxJOaE3"&amp;"4GQM5-c/edit?usp=sharing"",""รวมใต้!I209"")"),173)</f>
        <v>173</v>
      </c>
      <c r="J209" s="176">
        <f ca="1">IFERROR(__xludf.DUMMYFUNCTION("IMPORTRANGE(""https://docs.google.com/spreadsheets/d/12pGRKgvn2b31Uz_fjAl3XPzZUM_F2_O-zAHL2XHEPZg/edit?usp=sharing"",""รวมเหนือ!J209"")+IMPORTRANGE(""https://docs.google.com/spreadsheets/d/1c0UfJUA6nE6esVMy0kRcX_PENtt96DMxicQpqi3tips/edit?usp=sharing"","""&amp;"รวมตะวันออกเฉียงเหนือ!J209"")+IMPORTRANGE(""https://docs.google.com/spreadsheets/d/1iNWbYmj0agxPDl_yJgGu1eIremFPVMUuMWUKAjBzvrk/edit?usp=sharing"",""รวมกลาง!J209"")+IMPORTRANGE(""https://docs.google.com/spreadsheets/d/1uenpWDAH2bchvfvsSIjpd4bRU5D1faxJOaE3"&amp;"4GQM5-c/edit?usp=sharing"",""รวมใต้!J209"")"),173)</f>
        <v>173</v>
      </c>
      <c r="K209" s="166">
        <f ca="1">IF(I209&gt;0,J209*100/I209,0)</f>
        <v>100</v>
      </c>
      <c r="L209" s="41"/>
      <c r="M209" s="41"/>
      <c r="N209" s="41"/>
      <c r="O209" s="41"/>
      <c r="P209" s="41"/>
      <c r="Q209" s="41"/>
      <c r="R209" s="41"/>
      <c r="S209" s="41"/>
      <c r="T209" s="45"/>
      <c r="U209" s="45"/>
    </row>
    <row r="210" spans="1:21" ht="18.75" x14ac:dyDescent="0.25">
      <c r="A210" s="152"/>
      <c r="B210" s="153"/>
      <c r="C210" s="153"/>
      <c r="D210" s="163" t="s">
        <v>50</v>
      </c>
      <c r="E210" s="159"/>
      <c r="F210" s="159"/>
      <c r="G210" s="157"/>
      <c r="H210" s="157"/>
      <c r="I210" s="40"/>
      <c r="J210" s="40"/>
      <c r="K210" s="150"/>
      <c r="L210" s="41"/>
      <c r="M210" s="41"/>
      <c r="N210" s="41"/>
      <c r="O210" s="41"/>
      <c r="P210" s="41"/>
      <c r="Q210" s="41"/>
      <c r="R210" s="41"/>
      <c r="S210" s="41"/>
      <c r="T210" s="45"/>
      <c r="U210" s="45"/>
    </row>
    <row r="211" spans="1:21" ht="18.75" x14ac:dyDescent="0.25">
      <c r="A211" s="152"/>
      <c r="B211" s="153"/>
      <c r="C211" s="153"/>
      <c r="D211" s="159"/>
      <c r="E211" s="163" t="s">
        <v>91</v>
      </c>
      <c r="F211" s="159"/>
      <c r="G211" s="157"/>
      <c r="H211" s="233" t="s">
        <v>85</v>
      </c>
      <c r="I211" s="176">
        <v>0</v>
      </c>
      <c r="J211" s="176">
        <f ca="1">IFERROR(__xludf.DUMMYFUNCTION("IMPORTRANGE(""https://docs.google.com/spreadsheets/d/12pGRKgvn2b31Uz_fjAl3XPzZUM_F2_O-zAHL2XHEPZg/edit?usp=sharing"",""รวมเหนือ!J211"")+IMPORTRANGE(""https://docs.google.com/spreadsheets/d/1c0UfJUA6nE6esVMy0kRcX_PENtt96DMxicQpqi3tips/edit?usp=sharing"","""&amp;"รวมตะวันออกเฉียงเหนือ!J211"")+IMPORTRANGE(""https://docs.google.com/spreadsheets/d/1iNWbYmj0agxPDl_yJgGu1eIremFPVMUuMWUKAjBzvrk/edit?usp=sharing"",""รวมกลาง!J211"")+IMPORTRANGE(""https://docs.google.com/spreadsheets/d/1uenpWDAH2bchvfvsSIjpd4bRU5D1faxJOaE3"&amp;"4GQM5-c/edit?usp=sharing"",""รวมใต้!J211"")"),172)</f>
        <v>172</v>
      </c>
      <c r="K211" s="166">
        <f t="shared" ref="K211:K213" si="159">IF(I211&gt;0,J211*100/I211,0)</f>
        <v>0</v>
      </c>
      <c r="L211" s="41"/>
      <c r="M211" s="41"/>
      <c r="N211" s="41"/>
      <c r="O211" s="41"/>
      <c r="P211" s="41"/>
      <c r="Q211" s="41"/>
      <c r="R211" s="41"/>
      <c r="S211" s="41"/>
      <c r="T211" s="45"/>
      <c r="U211" s="45"/>
    </row>
    <row r="212" spans="1:21" ht="18.75" x14ac:dyDescent="0.25">
      <c r="A212" s="152"/>
      <c r="B212" s="153"/>
      <c r="C212" s="153"/>
      <c r="D212" s="159"/>
      <c r="E212" s="163" t="s">
        <v>92</v>
      </c>
      <c r="F212" s="159"/>
      <c r="G212" s="159"/>
      <c r="H212" s="164" t="s">
        <v>93</v>
      </c>
      <c r="I212" s="176">
        <v>0</v>
      </c>
      <c r="J212" s="176">
        <f ca="1">IFERROR(__xludf.DUMMYFUNCTION("IMPORTRANGE(""https://docs.google.com/spreadsheets/d/12pGRKgvn2b31Uz_fjAl3XPzZUM_F2_O-zAHL2XHEPZg/edit?usp=sharing"",""รวมเหนือ!J212"")+IMPORTRANGE(""https://docs.google.com/spreadsheets/d/1c0UfJUA6nE6esVMy0kRcX_PENtt96DMxicQpqi3tips/edit?usp=sharing"","""&amp;"รวมตะวันออกเฉียงเหนือ!J212"")+IMPORTRANGE(""https://docs.google.com/spreadsheets/d/1iNWbYmj0agxPDl_yJgGu1eIremFPVMUuMWUKAjBzvrk/edit?usp=sharing"",""รวมกลาง!J212"")+IMPORTRANGE(""https://docs.google.com/spreadsheets/d/1uenpWDAH2bchvfvsSIjpd4bRU5D1faxJOaE3"&amp;"4GQM5-c/edit?usp=sharing"",""รวมใต้!J212"")"),24)</f>
        <v>24</v>
      </c>
      <c r="K212" s="166">
        <f t="shared" si="159"/>
        <v>0</v>
      </c>
      <c r="L212" s="41"/>
      <c r="M212" s="41"/>
      <c r="N212" s="41"/>
      <c r="O212" s="41"/>
      <c r="P212" s="41"/>
      <c r="Q212" s="41"/>
      <c r="R212" s="41"/>
      <c r="S212" s="41"/>
      <c r="T212" s="45"/>
      <c r="U212" s="45"/>
    </row>
    <row r="213" spans="1:21" ht="19.5" x14ac:dyDescent="0.3">
      <c r="A213" s="216"/>
      <c r="B213" s="217"/>
      <c r="C213" s="218" t="s">
        <v>94</v>
      </c>
      <c r="D213" s="219"/>
      <c r="E213" s="219"/>
      <c r="F213" s="219"/>
      <c r="G213" s="220"/>
      <c r="H213" s="230" t="s">
        <v>85</v>
      </c>
      <c r="I213" s="222">
        <f t="shared" ref="I213:J213" ca="1" si="160">I220</f>
        <v>54</v>
      </c>
      <c r="J213" s="222">
        <f t="shared" ca="1" si="160"/>
        <v>54</v>
      </c>
      <c r="K213" s="223">
        <f t="shared" ca="1" si="159"/>
        <v>100</v>
      </c>
      <c r="L213" s="224"/>
      <c r="M213" s="224"/>
      <c r="N213" s="224"/>
      <c r="O213" s="224"/>
      <c r="P213" s="224"/>
      <c r="Q213" s="224"/>
      <c r="R213" s="224"/>
      <c r="S213" s="224"/>
      <c r="T213" s="225"/>
      <c r="U213" s="225"/>
    </row>
    <row r="214" spans="1:21" ht="19.5" x14ac:dyDescent="0.3">
      <c r="A214" s="142"/>
      <c r="B214" s="36"/>
      <c r="C214" s="143" t="s">
        <v>18</v>
      </c>
      <c r="D214" s="226" t="s">
        <v>19</v>
      </c>
      <c r="E214" s="36"/>
      <c r="F214" s="36"/>
      <c r="G214" s="38"/>
      <c r="H214" s="227" t="s">
        <v>14</v>
      </c>
      <c r="I214" s="149"/>
      <c r="J214" s="149"/>
      <c r="K214" s="150"/>
      <c r="L214" s="146">
        <f t="shared" ref="L214:N214" ca="1" si="161">L215+L216+L217</f>
        <v>332000</v>
      </c>
      <c r="M214" s="146">
        <f t="shared" ca="1" si="161"/>
        <v>0</v>
      </c>
      <c r="N214" s="146">
        <f t="shared" ca="1" si="161"/>
        <v>332000</v>
      </c>
      <c r="O214" s="146">
        <f ca="1">IF(L214&gt;0,N214*100/L214,0)</f>
        <v>100</v>
      </c>
      <c r="P214" s="41"/>
      <c r="Q214" s="146">
        <f t="shared" ref="Q214:S214" ca="1" si="162">Q215+Q216+Q217</f>
        <v>2675800</v>
      </c>
      <c r="R214" s="146">
        <f t="shared" ca="1" si="162"/>
        <v>0</v>
      </c>
      <c r="S214" s="146">
        <f t="shared" ca="1" si="162"/>
        <v>2496770</v>
      </c>
      <c r="T214" s="228">
        <f ca="1">IF(Q214&gt;0,S214*100/Q214,0)</f>
        <v>93.309290679422972</v>
      </c>
      <c r="U214" s="45"/>
    </row>
    <row r="215" spans="1:21" ht="18.75" x14ac:dyDescent="0.25">
      <c r="A215" s="142"/>
      <c r="B215" s="170"/>
      <c r="C215" s="36"/>
      <c r="D215" s="43" t="s">
        <v>86</v>
      </c>
      <c r="E215" s="36"/>
      <c r="F215" s="36"/>
      <c r="G215" s="38"/>
      <c r="H215" s="148" t="s">
        <v>14</v>
      </c>
      <c r="I215" s="149"/>
      <c r="J215" s="149"/>
      <c r="K215" s="150"/>
      <c r="L215" s="42">
        <f ca="1">IFERROR(__xludf.DUMMYFUNCTION("IMPORTRANGE(""https://docs.google.com/spreadsheets/d/12pGRKgvn2b31Uz_fjAl3XPzZUM_F2_O-zAHL2XHEPZg/edit?usp=sharing"",""รวมเหนือ!L215"")+IMPORTRANGE(""https://docs.google.com/spreadsheets/d/1c0UfJUA6nE6esVMy0kRcX_PENtt96DMxicQpqi3tips/edit?usp=sharing"","""&amp;"รวมตะวันออกเฉียงเหนือ!L215"")+IMPORTRANGE(""https://docs.google.com/spreadsheets/d/1iNWbYmj0agxPDl_yJgGu1eIremFPVMUuMWUKAjBzvrk/edit?usp=sharing"",""รวมกลาง!L215"")+IMPORTRANGE(""https://docs.google.com/spreadsheets/d/1uenpWDAH2bchvfvsSIjpd4bRU5D1faxJOaE3"&amp;"4GQM5-c/edit?usp=sharing"",""รวมใต้!L215"")"),54000)</f>
        <v>54000</v>
      </c>
      <c r="M215" s="42">
        <f ca="1">IFERROR(__xludf.DUMMYFUNCTION("IMPORTRANGE(""https://docs.google.com/spreadsheets/d/12pGRKgvn2b31Uz_fjAl3XPzZUM_F2_O-zAHL2XHEPZg/edit?usp=sharing"",""รวมเหนือ!M215"")+IMPORTRANGE(""https://docs.google.com/spreadsheets/d/1c0UfJUA6nE6esVMy0kRcX_PENtt96DMxicQpqi3tips/edit?usp=sharing"","""&amp;"รวมตะวันออกเฉียงเหนือ!M215"")+IMPORTRANGE(""https://docs.google.com/spreadsheets/d/1iNWbYmj0agxPDl_yJgGu1eIremFPVMUuMWUKAjBzvrk/edit?usp=sharing"",""รวมกลาง!M215"")+IMPORTRANGE(""https://docs.google.com/spreadsheets/d/1uenpWDAH2bchvfvsSIjpd4bRU5D1faxJOaE3"&amp;"4GQM5-c/edit?usp=sharing"",""รวมใต้!M215"")"),0)</f>
        <v>0</v>
      </c>
      <c r="N215" s="42">
        <f ca="1">IFERROR(__xludf.DUMMYFUNCTION("IMPORTRANGE(""https://docs.google.com/spreadsheets/d/12pGRKgvn2b31Uz_fjAl3XPzZUM_F2_O-zAHL2XHEPZg/edit?usp=sharing"",""รวมเหนือ!N215"")+IMPORTRANGE(""https://docs.google.com/spreadsheets/d/1c0UfJUA6nE6esVMy0kRcX_PENtt96DMxicQpqi3tips/edit?usp=sharing"","""&amp;"รวมตะวันออกเฉียงเหนือ!N215"")+IMPORTRANGE(""https://docs.google.com/spreadsheets/d/1iNWbYmj0agxPDl_yJgGu1eIremFPVMUuMWUKAjBzvrk/edit?usp=sharing"",""รวมกลาง!N215"")+IMPORTRANGE(""https://docs.google.com/spreadsheets/d/1uenpWDAH2bchvfvsSIjpd4bRU5D1faxJOaE3"&amp;"4GQM5-c/edit?usp=sharing"",""รวมใต้!N215"")"),54000)</f>
        <v>54000</v>
      </c>
      <c r="O215" s="150"/>
      <c r="P215" s="41"/>
      <c r="Q215" s="42">
        <f ca="1">IFERROR(__xludf.DUMMYFUNCTION("IMPORTRANGE(""https://docs.google.com/spreadsheets/d/12pGRKgvn2b31Uz_fjAl3XPzZUM_F2_O-zAHL2XHEPZg/edit?usp=sharing"",""รวมเหนือ!Q215"")+IMPORTRANGE(""https://docs.google.com/spreadsheets/d/1c0UfJUA6nE6esVMy0kRcX_PENtt96DMxicQpqi3tips/edit?usp=sharing"","""&amp;"รวมตะวันออกเฉียงเหนือ!Q215"")+IMPORTRANGE(""https://docs.google.com/spreadsheets/d/1iNWbYmj0agxPDl_yJgGu1eIremFPVMUuMWUKAjBzvrk/edit?usp=sharing"",""รวมกลาง!Q215"")+IMPORTRANGE(""https://docs.google.com/spreadsheets/d/1uenpWDAH2bchvfvsSIjpd4bRU5D1faxJOaE3"&amp;"4GQM5-c/edit?usp=sharing"",""รวมใต้!Q215"")"),0)</f>
        <v>0</v>
      </c>
      <c r="R215" s="42">
        <f ca="1">IFERROR(__xludf.DUMMYFUNCTION("IMPORTRANGE(""https://docs.google.com/spreadsheets/d/12pGRKgvn2b31Uz_fjAl3XPzZUM_F2_O-zAHL2XHEPZg/edit?usp=sharing"",""รวมเหนือ!R215"")+IMPORTRANGE(""https://docs.google.com/spreadsheets/d/1c0UfJUA6nE6esVMy0kRcX_PENtt96DMxicQpqi3tips/edit?usp=sharing"","""&amp;"รวมตะวันออกเฉียงเหนือ!R215"")+IMPORTRANGE(""https://docs.google.com/spreadsheets/d/1iNWbYmj0agxPDl_yJgGu1eIremFPVMUuMWUKAjBzvrk/edit?usp=sharing"",""รวมกลาง!R215"")+IMPORTRANGE(""https://docs.google.com/spreadsheets/d/1uenpWDAH2bchvfvsSIjpd4bRU5D1faxJOaE3"&amp;"4GQM5-c/edit?usp=sharing"",""รวมใต้!R215"")"),0)</f>
        <v>0</v>
      </c>
      <c r="S215" s="42">
        <f ca="1">IFERROR(__xludf.DUMMYFUNCTION("IMPORTRANGE(""https://docs.google.com/spreadsheets/d/12pGRKgvn2b31Uz_fjAl3XPzZUM_F2_O-zAHL2XHEPZg/edit?usp=sharing"",""รวมเหนือ!S215"")+IMPORTRANGE(""https://docs.google.com/spreadsheets/d/1c0UfJUA6nE6esVMy0kRcX_PENtt96DMxicQpqi3tips/edit?usp=sharing"","""&amp;"รวมตะวันออกเฉียงเหนือ!S215"")+IMPORTRANGE(""https://docs.google.com/spreadsheets/d/1iNWbYmj0agxPDl_yJgGu1eIremFPVMUuMWUKAjBzvrk/edit?usp=sharing"",""รวมกลาง!S215"")+IMPORTRANGE(""https://docs.google.com/spreadsheets/d/1uenpWDAH2bchvfvsSIjpd4bRU5D1faxJOaE3"&amp;"4GQM5-c/edit?usp=sharing"",""รวมใต้!S215"")"),0)</f>
        <v>0</v>
      </c>
      <c r="T215" s="232"/>
      <c r="U215" s="45"/>
    </row>
    <row r="216" spans="1:21" ht="18.75" x14ac:dyDescent="0.25">
      <c r="A216" s="213"/>
      <c r="B216" s="170"/>
      <c r="C216" s="170"/>
      <c r="D216" s="43" t="s">
        <v>95</v>
      </c>
      <c r="E216" s="36"/>
      <c r="F216" s="36"/>
      <c r="G216" s="38"/>
      <c r="H216" s="148" t="s">
        <v>14</v>
      </c>
      <c r="I216" s="40"/>
      <c r="J216" s="40"/>
      <c r="K216" s="41"/>
      <c r="L216" s="42">
        <f ca="1">IFERROR(__xludf.DUMMYFUNCTION("IMPORTRANGE(""https://docs.google.com/spreadsheets/d/12pGRKgvn2b31Uz_fjAl3XPzZUM_F2_O-zAHL2XHEPZg/edit?usp=sharing"",""รวมเหนือ!L216"")+IMPORTRANGE(""https://docs.google.com/spreadsheets/d/1c0UfJUA6nE6esVMy0kRcX_PENtt96DMxicQpqi3tips/edit?usp=sharing"","""&amp;"รวมตะวันออกเฉียงเหนือ!L216"")+IMPORTRANGE(""https://docs.google.com/spreadsheets/d/1iNWbYmj0agxPDl_yJgGu1eIremFPVMUuMWUKAjBzvrk/edit?usp=sharing"",""รวมกลาง!L216"")+IMPORTRANGE(""https://docs.google.com/spreadsheets/d/1uenpWDAH2bchvfvsSIjpd4bRU5D1faxJOaE3"&amp;"4GQM5-c/edit?usp=sharing"",""รวมใต้!L216"")"),270000)</f>
        <v>270000</v>
      </c>
      <c r="M216" s="42">
        <f ca="1">IFERROR(__xludf.DUMMYFUNCTION("IMPORTRANGE(""https://docs.google.com/spreadsheets/d/12pGRKgvn2b31Uz_fjAl3XPzZUM_F2_O-zAHL2XHEPZg/edit?usp=sharing"",""รวมเหนือ!M216"")+IMPORTRANGE(""https://docs.google.com/spreadsheets/d/1c0UfJUA6nE6esVMy0kRcX_PENtt96DMxicQpqi3tips/edit?usp=sharing"","""&amp;"รวมตะวันออกเฉียงเหนือ!M216"")+IMPORTRANGE(""https://docs.google.com/spreadsheets/d/1iNWbYmj0agxPDl_yJgGu1eIremFPVMUuMWUKAjBzvrk/edit?usp=sharing"",""รวมกลาง!M216"")+IMPORTRANGE(""https://docs.google.com/spreadsheets/d/1uenpWDAH2bchvfvsSIjpd4bRU5D1faxJOaE3"&amp;"4GQM5-c/edit?usp=sharing"",""รวมใต้!M216"")"),0)</f>
        <v>0</v>
      </c>
      <c r="N216" s="42">
        <f ca="1">IFERROR(__xludf.DUMMYFUNCTION("IMPORTRANGE(""https://docs.google.com/spreadsheets/d/12pGRKgvn2b31Uz_fjAl3XPzZUM_F2_O-zAHL2XHEPZg/edit?usp=sharing"",""รวมเหนือ!N216"")+IMPORTRANGE(""https://docs.google.com/spreadsheets/d/1c0UfJUA6nE6esVMy0kRcX_PENtt96DMxicQpqi3tips/edit?usp=sharing"","""&amp;"รวมตะวันออกเฉียงเหนือ!N216"")+IMPORTRANGE(""https://docs.google.com/spreadsheets/d/1iNWbYmj0agxPDl_yJgGu1eIremFPVMUuMWUKAjBzvrk/edit?usp=sharing"",""รวมกลาง!N216"")+IMPORTRANGE(""https://docs.google.com/spreadsheets/d/1uenpWDAH2bchvfvsSIjpd4bRU5D1faxJOaE3"&amp;"4GQM5-c/edit?usp=sharing"",""รวมใต้!N216"")"),270000)</f>
        <v>270000</v>
      </c>
      <c r="O216" s="150"/>
      <c r="P216" s="41"/>
      <c r="Q216" s="42">
        <f ca="1">IFERROR(__xludf.DUMMYFUNCTION("IMPORTRANGE(""https://docs.google.com/spreadsheets/d/12pGRKgvn2b31Uz_fjAl3XPzZUM_F2_O-zAHL2XHEPZg/edit?usp=sharing"",""รวมเหนือ!Q216"")+IMPORTRANGE(""https://docs.google.com/spreadsheets/d/1c0UfJUA6nE6esVMy0kRcX_PENtt96DMxicQpqi3tips/edit?usp=sharing"","""&amp;"รวมตะวันออกเฉียงเหนือ!Q216"")+IMPORTRANGE(""https://docs.google.com/spreadsheets/d/1iNWbYmj0agxPDl_yJgGu1eIremFPVMUuMWUKAjBzvrk/edit?usp=sharing"",""รวมกลาง!Q216"")+IMPORTRANGE(""https://docs.google.com/spreadsheets/d/1uenpWDAH2bchvfvsSIjpd4bRU5D1faxJOaE3"&amp;"4GQM5-c/edit?usp=sharing"",""รวมใต้!Q216"")"),0)</f>
        <v>0</v>
      </c>
      <c r="R216" s="42">
        <f ca="1">IFERROR(__xludf.DUMMYFUNCTION("IMPORTRANGE(""https://docs.google.com/spreadsheets/d/12pGRKgvn2b31Uz_fjAl3XPzZUM_F2_O-zAHL2XHEPZg/edit?usp=sharing"",""รวมเหนือ!R216"")+IMPORTRANGE(""https://docs.google.com/spreadsheets/d/1c0UfJUA6nE6esVMy0kRcX_PENtt96DMxicQpqi3tips/edit?usp=sharing"","""&amp;"รวมตะวันออกเฉียงเหนือ!R216"")+IMPORTRANGE(""https://docs.google.com/spreadsheets/d/1iNWbYmj0agxPDl_yJgGu1eIremFPVMUuMWUKAjBzvrk/edit?usp=sharing"",""รวมกลาง!R216"")+IMPORTRANGE(""https://docs.google.com/spreadsheets/d/1uenpWDAH2bchvfvsSIjpd4bRU5D1faxJOaE3"&amp;"4GQM5-c/edit?usp=sharing"",""รวมใต้!R216"")"),0)</f>
        <v>0</v>
      </c>
      <c r="S216" s="42">
        <f ca="1">IFERROR(__xludf.DUMMYFUNCTION("IMPORTRANGE(""https://docs.google.com/spreadsheets/d/12pGRKgvn2b31Uz_fjAl3XPzZUM_F2_O-zAHL2XHEPZg/edit?usp=sharing"",""รวมเหนือ!S216"")+IMPORTRANGE(""https://docs.google.com/spreadsheets/d/1c0UfJUA6nE6esVMy0kRcX_PENtt96DMxicQpqi3tips/edit?usp=sharing"","""&amp;"รวมตะวันออกเฉียงเหนือ!S216"")+IMPORTRANGE(""https://docs.google.com/spreadsheets/d/1iNWbYmj0agxPDl_yJgGu1eIremFPVMUuMWUKAjBzvrk/edit?usp=sharing"",""รวมกลาง!S216"")+IMPORTRANGE(""https://docs.google.com/spreadsheets/d/1uenpWDAH2bchvfvsSIjpd4bRU5D1faxJOaE3"&amp;"4GQM5-c/edit?usp=sharing"",""รวมใต้!S216"")"),0)</f>
        <v>0</v>
      </c>
      <c r="T216" s="232"/>
      <c r="U216" s="45"/>
    </row>
    <row r="217" spans="1:21" ht="18.75" x14ac:dyDescent="0.25">
      <c r="A217" s="213"/>
      <c r="B217" s="170"/>
      <c r="C217" s="170"/>
      <c r="D217" s="43" t="s">
        <v>88</v>
      </c>
      <c r="E217" s="36"/>
      <c r="F217" s="36"/>
      <c r="G217" s="38"/>
      <c r="H217" s="148" t="s">
        <v>14</v>
      </c>
      <c r="I217" s="40"/>
      <c r="J217" s="40"/>
      <c r="K217" s="41"/>
      <c r="L217" s="42">
        <f ca="1">IFERROR(__xludf.DUMMYFUNCTION("IMPORTRANGE(""https://docs.google.com/spreadsheets/d/12pGRKgvn2b31Uz_fjAl3XPzZUM_F2_O-zAHL2XHEPZg/edit?usp=sharing"",""รวมเหนือ!L217"")+IMPORTRANGE(""https://docs.google.com/spreadsheets/d/1c0UfJUA6nE6esVMy0kRcX_PENtt96DMxicQpqi3tips/edit?usp=sharing"","""&amp;"รวมตะวันออกเฉียงเหนือ!L217"")+IMPORTRANGE(""https://docs.google.com/spreadsheets/d/1iNWbYmj0agxPDl_yJgGu1eIremFPVMUuMWUKAjBzvrk/edit?usp=sharing"",""รวมกลาง!L217"")+IMPORTRANGE(""https://docs.google.com/spreadsheets/d/1uenpWDAH2bchvfvsSIjpd4bRU5D1faxJOaE3"&amp;"4GQM5-c/edit?usp=sharing"",""รวมใต้!L217"")"),8000)</f>
        <v>8000</v>
      </c>
      <c r="M217" s="42">
        <f ca="1">IFERROR(__xludf.DUMMYFUNCTION("IMPORTRANGE(""https://docs.google.com/spreadsheets/d/12pGRKgvn2b31Uz_fjAl3XPzZUM_F2_O-zAHL2XHEPZg/edit?usp=sharing"",""รวมเหนือ!M217"")+IMPORTRANGE(""https://docs.google.com/spreadsheets/d/1c0UfJUA6nE6esVMy0kRcX_PENtt96DMxicQpqi3tips/edit?usp=sharing"","""&amp;"รวมตะวันออกเฉียงเหนือ!M217"")+IMPORTRANGE(""https://docs.google.com/spreadsheets/d/1iNWbYmj0agxPDl_yJgGu1eIremFPVMUuMWUKAjBzvrk/edit?usp=sharing"",""รวมกลาง!M217"")+IMPORTRANGE(""https://docs.google.com/spreadsheets/d/1uenpWDAH2bchvfvsSIjpd4bRU5D1faxJOaE3"&amp;"4GQM5-c/edit?usp=sharing"",""รวมใต้!M217"")"),0)</f>
        <v>0</v>
      </c>
      <c r="N217" s="42">
        <f ca="1">IFERROR(__xludf.DUMMYFUNCTION("IMPORTRANGE(""https://docs.google.com/spreadsheets/d/12pGRKgvn2b31Uz_fjAl3XPzZUM_F2_O-zAHL2XHEPZg/edit?usp=sharing"",""รวมเหนือ!N217"")+IMPORTRANGE(""https://docs.google.com/spreadsheets/d/1c0UfJUA6nE6esVMy0kRcX_PENtt96DMxicQpqi3tips/edit?usp=sharing"","""&amp;"รวมตะวันออกเฉียงเหนือ!N217"")+IMPORTRANGE(""https://docs.google.com/spreadsheets/d/1iNWbYmj0agxPDl_yJgGu1eIremFPVMUuMWUKAjBzvrk/edit?usp=sharing"",""รวมกลาง!N217"")+IMPORTRANGE(""https://docs.google.com/spreadsheets/d/1uenpWDAH2bchvfvsSIjpd4bRU5D1faxJOaE3"&amp;"4GQM5-c/edit?usp=sharing"",""รวมใต้!N217"")"),8000)</f>
        <v>8000</v>
      </c>
      <c r="O217" s="150"/>
      <c r="P217" s="41"/>
      <c r="Q217" s="42">
        <f ca="1">IFERROR(__xludf.DUMMYFUNCTION("IMPORTRANGE(""https://docs.google.com/spreadsheets/d/12pGRKgvn2b31Uz_fjAl3XPzZUM_F2_O-zAHL2XHEPZg/edit?usp=sharing"",""รวมเหนือ!Q217"")+IMPORTRANGE(""https://docs.google.com/spreadsheets/d/1c0UfJUA6nE6esVMy0kRcX_PENtt96DMxicQpqi3tips/edit?usp=sharing"","""&amp;"รวมตะวันออกเฉียงเหนือ!Q217"")+IMPORTRANGE(""https://docs.google.com/spreadsheets/d/1iNWbYmj0agxPDl_yJgGu1eIremFPVMUuMWUKAjBzvrk/edit?usp=sharing"",""รวมกลาง!Q217"")+IMPORTRANGE(""https://docs.google.com/spreadsheets/d/1uenpWDAH2bchvfvsSIjpd4bRU5D1faxJOaE3"&amp;"4GQM5-c/edit?usp=sharing"",""รวมใต้!Q217"")"),2675800)</f>
        <v>2675800</v>
      </c>
      <c r="R217" s="42">
        <f ca="1">IFERROR(__xludf.DUMMYFUNCTION("IMPORTRANGE(""https://docs.google.com/spreadsheets/d/12pGRKgvn2b31Uz_fjAl3XPzZUM_F2_O-zAHL2XHEPZg/edit?usp=sharing"",""รวมเหนือ!R217"")+IMPORTRANGE(""https://docs.google.com/spreadsheets/d/1c0UfJUA6nE6esVMy0kRcX_PENtt96DMxicQpqi3tips/edit?usp=sharing"","""&amp;"รวมตะวันออกเฉียงเหนือ!R217"")+IMPORTRANGE(""https://docs.google.com/spreadsheets/d/1iNWbYmj0agxPDl_yJgGu1eIremFPVMUuMWUKAjBzvrk/edit?usp=sharing"",""รวมกลาง!R217"")+IMPORTRANGE(""https://docs.google.com/spreadsheets/d/1uenpWDAH2bchvfvsSIjpd4bRU5D1faxJOaE3"&amp;"4GQM5-c/edit?usp=sharing"",""รวมใต้!R217"")"),0)</f>
        <v>0</v>
      </c>
      <c r="S217" s="42">
        <f ca="1">IFERROR(__xludf.DUMMYFUNCTION("IMPORTRANGE(""https://docs.google.com/spreadsheets/d/12pGRKgvn2b31Uz_fjAl3XPzZUM_F2_O-zAHL2XHEPZg/edit?usp=sharing"",""รวมเหนือ!S217"")+IMPORTRANGE(""https://docs.google.com/spreadsheets/d/1c0UfJUA6nE6esVMy0kRcX_PENtt96DMxicQpqi3tips/edit?usp=sharing"","""&amp;"รวมตะวันออกเฉียงเหนือ!S217"")+IMPORTRANGE(""https://docs.google.com/spreadsheets/d/1iNWbYmj0agxPDl_yJgGu1eIremFPVMUuMWUKAjBzvrk/edit?usp=sharing"",""รวมกลาง!S217"")+IMPORTRANGE(""https://docs.google.com/spreadsheets/d/1uenpWDAH2bchvfvsSIjpd4bRU5D1faxJOaE3"&amp;"4GQM5-c/edit?usp=sharing"",""รวมใต้!S217"")"),2496770)</f>
        <v>2496770</v>
      </c>
      <c r="T217" s="232"/>
      <c r="U217" s="45"/>
    </row>
    <row r="218" spans="1:21" ht="19.5" x14ac:dyDescent="0.3">
      <c r="A218" s="152"/>
      <c r="B218" s="153"/>
      <c r="C218" s="143" t="s">
        <v>18</v>
      </c>
      <c r="D218" s="154" t="s">
        <v>38</v>
      </c>
      <c r="E218" s="155"/>
      <c r="F218" s="155"/>
      <c r="G218" s="156"/>
      <c r="H218" s="157"/>
      <c r="I218" s="149"/>
      <c r="J218" s="40"/>
      <c r="K218" s="41"/>
      <c r="L218" s="41"/>
      <c r="M218" s="41"/>
      <c r="N218" s="41"/>
      <c r="O218" s="150"/>
      <c r="P218" s="150"/>
      <c r="Q218" s="41"/>
      <c r="R218" s="41"/>
      <c r="S218" s="41"/>
      <c r="T218" s="232"/>
      <c r="U218" s="232"/>
    </row>
    <row r="219" spans="1:21" ht="18.75" x14ac:dyDescent="0.25">
      <c r="A219" s="152"/>
      <c r="B219" s="153"/>
      <c r="C219" s="153"/>
      <c r="D219" s="158" t="s">
        <v>96</v>
      </c>
      <c r="E219" s="159"/>
      <c r="F219" s="159"/>
      <c r="G219" s="157"/>
      <c r="H219" s="233" t="s">
        <v>85</v>
      </c>
      <c r="I219" s="176">
        <f ca="1">IFERROR(__xludf.DUMMYFUNCTION("IMPORTRANGE(""https://docs.google.com/spreadsheets/d/12pGRKgvn2b31Uz_fjAl3XPzZUM_F2_O-zAHL2XHEPZg/edit?usp=sharing"",""รวมเหนือ!I219"")+IMPORTRANGE(""https://docs.google.com/spreadsheets/d/1c0UfJUA6nE6esVMy0kRcX_PENtt96DMxicQpqi3tips/edit?usp=sharing"","""&amp;"รวมตะวันออกเฉียงเหนือ!I219"")+IMPORTRANGE(""https://docs.google.com/spreadsheets/d/1iNWbYmj0agxPDl_yJgGu1eIremFPVMUuMWUKAjBzvrk/edit?usp=sharing"",""รวมกลาง!I219"")+IMPORTRANGE(""https://docs.google.com/spreadsheets/d/1uenpWDAH2bchvfvsSIjpd4bRU5D1faxJOaE3"&amp;"4GQM5-c/edit?usp=sharing"",""รวมใต้!I219"")"),54)</f>
        <v>54</v>
      </c>
      <c r="J219" s="176">
        <f ca="1">IFERROR(__xludf.DUMMYFUNCTION("IMPORTRANGE(""https://docs.google.com/spreadsheets/d/12pGRKgvn2b31Uz_fjAl3XPzZUM_F2_O-zAHL2XHEPZg/edit?usp=sharing"",""รวมเหนือ!J219"")+IMPORTRANGE(""https://docs.google.com/spreadsheets/d/1c0UfJUA6nE6esVMy0kRcX_PENtt96DMxicQpqi3tips/edit?usp=sharing"","""&amp;"รวมตะวันออกเฉียงเหนือ!J219"")+IMPORTRANGE(""https://docs.google.com/spreadsheets/d/1iNWbYmj0agxPDl_yJgGu1eIremFPVMUuMWUKAjBzvrk/edit?usp=sharing"",""รวมกลาง!J219"")+IMPORTRANGE(""https://docs.google.com/spreadsheets/d/1uenpWDAH2bchvfvsSIjpd4bRU5D1faxJOaE3"&amp;"4GQM5-c/edit?usp=sharing"",""รวมใต้!J219"")"),54)</f>
        <v>54</v>
      </c>
      <c r="K219" s="42">
        <f t="shared" ref="K219:K221" ca="1" si="163">IF(I219&gt;0,J219*100/I219,0)</f>
        <v>100</v>
      </c>
      <c r="L219" s="41"/>
      <c r="M219" s="41"/>
      <c r="N219" s="41"/>
      <c r="O219" s="41"/>
      <c r="P219" s="41"/>
      <c r="Q219" s="41"/>
      <c r="R219" s="41"/>
      <c r="S219" s="41"/>
      <c r="T219" s="45"/>
      <c r="U219" s="45"/>
    </row>
    <row r="220" spans="1:21" ht="18.75" x14ac:dyDescent="0.25">
      <c r="A220" s="152"/>
      <c r="B220" s="153"/>
      <c r="C220" s="153"/>
      <c r="D220" s="158" t="s">
        <v>97</v>
      </c>
      <c r="E220" s="159"/>
      <c r="F220" s="159"/>
      <c r="G220" s="157"/>
      <c r="H220" s="233" t="s">
        <v>85</v>
      </c>
      <c r="I220" s="176">
        <f ca="1">IFERROR(__xludf.DUMMYFUNCTION("IMPORTRANGE(""https://docs.google.com/spreadsheets/d/12pGRKgvn2b31Uz_fjAl3XPzZUM_F2_O-zAHL2XHEPZg/edit?usp=sharing"",""รวมเหนือ!I220"")+IMPORTRANGE(""https://docs.google.com/spreadsheets/d/1c0UfJUA6nE6esVMy0kRcX_PENtt96DMxicQpqi3tips/edit?usp=sharing"","""&amp;"รวมตะวันออกเฉียงเหนือ!I220"")+IMPORTRANGE(""https://docs.google.com/spreadsheets/d/1iNWbYmj0agxPDl_yJgGu1eIremFPVMUuMWUKAjBzvrk/edit?usp=sharing"",""รวมกลาง!I220"")+IMPORTRANGE(""https://docs.google.com/spreadsheets/d/1uenpWDAH2bchvfvsSIjpd4bRU5D1faxJOaE3"&amp;"4GQM5-c/edit?usp=sharing"",""รวมใต้!I220"")"),54)</f>
        <v>54</v>
      </c>
      <c r="J220" s="176">
        <f ca="1">IFERROR(__xludf.DUMMYFUNCTION("IMPORTRANGE(""https://docs.google.com/spreadsheets/d/12pGRKgvn2b31Uz_fjAl3XPzZUM_F2_O-zAHL2XHEPZg/edit?usp=sharing"",""รวมเหนือ!J220"")+IMPORTRANGE(""https://docs.google.com/spreadsheets/d/1c0UfJUA6nE6esVMy0kRcX_PENtt96DMxicQpqi3tips/edit?usp=sharing"","""&amp;"รวมตะวันออกเฉียงเหนือ!J220"")+IMPORTRANGE(""https://docs.google.com/spreadsheets/d/1iNWbYmj0agxPDl_yJgGu1eIremFPVMUuMWUKAjBzvrk/edit?usp=sharing"",""รวมกลาง!J220"")+IMPORTRANGE(""https://docs.google.com/spreadsheets/d/1uenpWDAH2bchvfvsSIjpd4bRU5D1faxJOaE3"&amp;"4GQM5-c/edit?usp=sharing"",""รวมใต้!J220"")"),54)</f>
        <v>54</v>
      </c>
      <c r="K220" s="42">
        <f t="shared" ca="1" si="163"/>
        <v>100</v>
      </c>
      <c r="L220" s="41"/>
      <c r="M220" s="41"/>
      <c r="N220" s="41"/>
      <c r="O220" s="41"/>
      <c r="P220" s="41"/>
      <c r="Q220" s="41"/>
      <c r="R220" s="41"/>
      <c r="S220" s="41"/>
      <c r="T220" s="45"/>
      <c r="U220" s="45"/>
    </row>
    <row r="221" spans="1:21" ht="19.5" x14ac:dyDescent="0.3">
      <c r="A221" s="216"/>
      <c r="B221" s="217"/>
      <c r="C221" s="218" t="s">
        <v>98</v>
      </c>
      <c r="D221" s="219"/>
      <c r="E221" s="219"/>
      <c r="F221" s="219"/>
      <c r="G221" s="220"/>
      <c r="H221" s="221" t="s">
        <v>99</v>
      </c>
      <c r="I221" s="222">
        <f t="shared" ref="I221:J221" ca="1" si="164">I229</f>
        <v>2633000</v>
      </c>
      <c r="J221" s="222">
        <f t="shared" ca="1" si="164"/>
        <v>2665400</v>
      </c>
      <c r="K221" s="223">
        <f t="shared" ca="1" si="163"/>
        <v>101.23053551082415</v>
      </c>
      <c r="L221" s="224"/>
      <c r="M221" s="224"/>
      <c r="N221" s="224"/>
      <c r="O221" s="224"/>
      <c r="P221" s="224"/>
      <c r="Q221" s="224"/>
      <c r="R221" s="224"/>
      <c r="S221" s="224"/>
      <c r="T221" s="225"/>
      <c r="U221" s="225"/>
    </row>
    <row r="222" spans="1:21" ht="19.5" x14ac:dyDescent="0.3">
      <c r="A222" s="142"/>
      <c r="B222" s="36"/>
      <c r="C222" s="143" t="s">
        <v>18</v>
      </c>
      <c r="D222" s="226" t="s">
        <v>19</v>
      </c>
      <c r="E222" s="36"/>
      <c r="F222" s="36"/>
      <c r="G222" s="38"/>
      <c r="H222" s="227" t="s">
        <v>14</v>
      </c>
      <c r="I222" s="149"/>
      <c r="J222" s="149"/>
      <c r="K222" s="150"/>
      <c r="L222" s="146">
        <f t="shared" ref="L222:N222" ca="1" si="165">L223+L224+L225</f>
        <v>487500</v>
      </c>
      <c r="M222" s="146">
        <f t="shared" ca="1" si="165"/>
        <v>0</v>
      </c>
      <c r="N222" s="146">
        <f t="shared" ca="1" si="165"/>
        <v>487500</v>
      </c>
      <c r="O222" s="146">
        <f ca="1">IF(L222&gt;0,N222*100/L222,0)</f>
        <v>100</v>
      </c>
      <c r="P222" s="41"/>
      <c r="Q222" s="146">
        <f t="shared" ref="Q222:S222" ca="1" si="166">Q223+Q224+Q225</f>
        <v>0</v>
      </c>
      <c r="R222" s="146">
        <f t="shared" ca="1" si="166"/>
        <v>0</v>
      </c>
      <c r="S222" s="146">
        <f t="shared" ca="1" si="166"/>
        <v>0</v>
      </c>
      <c r="T222" s="228">
        <f ca="1">IF(Q222&gt;0,S222*100/Q222,0)</f>
        <v>0</v>
      </c>
      <c r="U222" s="45"/>
    </row>
    <row r="223" spans="1:21" ht="18.75" x14ac:dyDescent="0.25">
      <c r="A223" s="142"/>
      <c r="B223" s="170"/>
      <c r="C223" s="36"/>
      <c r="D223" s="43" t="s">
        <v>86</v>
      </c>
      <c r="E223" s="36"/>
      <c r="F223" s="36"/>
      <c r="G223" s="38"/>
      <c r="H223" s="148" t="s">
        <v>14</v>
      </c>
      <c r="I223" s="149"/>
      <c r="J223" s="149"/>
      <c r="K223" s="150"/>
      <c r="L223" s="42">
        <f ca="1">IFERROR(__xludf.DUMMYFUNCTION("IMPORTRANGE(""https://docs.google.com/spreadsheets/d/12pGRKgvn2b31Uz_fjAl3XPzZUM_F2_O-zAHL2XHEPZg/edit?usp=sharing"",""รวมเหนือ!L223"")+IMPORTRANGE(""https://docs.google.com/spreadsheets/d/1c0UfJUA6nE6esVMy0kRcX_PENtt96DMxicQpqi3tips/edit?usp=sharing"","""&amp;"รวมตะวันออกเฉียงเหนือ!L223"")+IMPORTRANGE(""https://docs.google.com/spreadsheets/d/1iNWbYmj0agxPDl_yJgGu1eIremFPVMUuMWUKAjBzvrk/edit?usp=sharing"",""รวมกลาง!L223"")+IMPORTRANGE(""https://docs.google.com/spreadsheets/d/1uenpWDAH2bchvfvsSIjpd4bRU5D1faxJOaE3"&amp;"4GQM5-c/edit?usp=sharing"",""รวมใต้!L223"")"),177500)</f>
        <v>177500</v>
      </c>
      <c r="M223" s="42">
        <f ca="1">IFERROR(__xludf.DUMMYFUNCTION("IMPORTRANGE(""https://docs.google.com/spreadsheets/d/12pGRKgvn2b31Uz_fjAl3XPzZUM_F2_O-zAHL2XHEPZg/edit?usp=sharing"",""รวมเหนือ!M223"")+IMPORTRANGE(""https://docs.google.com/spreadsheets/d/1c0UfJUA6nE6esVMy0kRcX_PENtt96DMxicQpqi3tips/edit?usp=sharing"","""&amp;"รวมตะวันออกเฉียงเหนือ!M223"")+IMPORTRANGE(""https://docs.google.com/spreadsheets/d/1iNWbYmj0agxPDl_yJgGu1eIremFPVMUuMWUKAjBzvrk/edit?usp=sharing"",""รวมกลาง!M223"")+IMPORTRANGE(""https://docs.google.com/spreadsheets/d/1uenpWDAH2bchvfvsSIjpd4bRU5D1faxJOaE3"&amp;"4GQM5-c/edit?usp=sharing"",""รวมใต้!M223"")"),0)</f>
        <v>0</v>
      </c>
      <c r="N223" s="42">
        <f ca="1">IFERROR(__xludf.DUMMYFUNCTION("IMPORTRANGE(""https://docs.google.com/spreadsheets/d/12pGRKgvn2b31Uz_fjAl3XPzZUM_F2_O-zAHL2XHEPZg/edit?usp=sharing"",""รวมเหนือ!N223"")+IMPORTRANGE(""https://docs.google.com/spreadsheets/d/1c0UfJUA6nE6esVMy0kRcX_PENtt96DMxicQpqi3tips/edit?usp=sharing"","""&amp;"รวมตะวันออกเฉียงเหนือ!N223"")+IMPORTRANGE(""https://docs.google.com/spreadsheets/d/1iNWbYmj0agxPDl_yJgGu1eIremFPVMUuMWUKAjBzvrk/edit?usp=sharing"",""รวมกลาง!N223"")+IMPORTRANGE(""https://docs.google.com/spreadsheets/d/1uenpWDAH2bchvfvsSIjpd4bRU5D1faxJOaE3"&amp;"4GQM5-c/edit?usp=sharing"",""รวมใต้!N223"")"),182900)</f>
        <v>182900</v>
      </c>
      <c r="O223" s="150"/>
      <c r="P223" s="41"/>
      <c r="Q223" s="42">
        <f ca="1">IFERROR(__xludf.DUMMYFUNCTION("IMPORTRANGE(""https://docs.google.com/spreadsheets/d/12pGRKgvn2b31Uz_fjAl3XPzZUM_F2_O-zAHL2XHEPZg/edit?usp=sharing"",""รวมเหนือ!Q223"")+IMPORTRANGE(""https://docs.google.com/spreadsheets/d/1c0UfJUA6nE6esVMy0kRcX_PENtt96DMxicQpqi3tips/edit?usp=sharing"","""&amp;"รวมตะวันออกเฉียงเหนือ!Q223"")+IMPORTRANGE(""https://docs.google.com/spreadsheets/d/1iNWbYmj0agxPDl_yJgGu1eIremFPVMUuMWUKAjBzvrk/edit?usp=sharing"",""รวมกลาง!Q223"")+IMPORTRANGE(""https://docs.google.com/spreadsheets/d/1uenpWDAH2bchvfvsSIjpd4bRU5D1faxJOaE3"&amp;"4GQM5-c/edit?usp=sharing"",""รวมใต้!Q223"")"),0)</f>
        <v>0</v>
      </c>
      <c r="R223" s="42">
        <f ca="1">IFERROR(__xludf.DUMMYFUNCTION("IMPORTRANGE(""https://docs.google.com/spreadsheets/d/12pGRKgvn2b31Uz_fjAl3XPzZUM_F2_O-zAHL2XHEPZg/edit?usp=sharing"",""รวมเหนือ!R223"")+IMPORTRANGE(""https://docs.google.com/spreadsheets/d/1c0UfJUA6nE6esVMy0kRcX_PENtt96DMxicQpqi3tips/edit?usp=sharing"","""&amp;"รวมตะวันออกเฉียงเหนือ!R223"")+IMPORTRANGE(""https://docs.google.com/spreadsheets/d/1iNWbYmj0agxPDl_yJgGu1eIremFPVMUuMWUKAjBzvrk/edit?usp=sharing"",""รวมกลาง!R223"")+IMPORTRANGE(""https://docs.google.com/spreadsheets/d/1uenpWDAH2bchvfvsSIjpd4bRU5D1faxJOaE3"&amp;"4GQM5-c/edit?usp=sharing"",""รวมใต้!R223"")"),0)</f>
        <v>0</v>
      </c>
      <c r="S223" s="42">
        <f ca="1">IFERROR(__xludf.DUMMYFUNCTION("IMPORTRANGE(""https://docs.google.com/spreadsheets/d/12pGRKgvn2b31Uz_fjAl3XPzZUM_F2_O-zAHL2XHEPZg/edit?usp=sharing"",""รวมเหนือ!S223"")+IMPORTRANGE(""https://docs.google.com/spreadsheets/d/1c0UfJUA6nE6esVMy0kRcX_PENtt96DMxicQpqi3tips/edit?usp=sharing"","""&amp;"รวมตะวันออกเฉียงเหนือ!S223"")+IMPORTRANGE(""https://docs.google.com/spreadsheets/d/1iNWbYmj0agxPDl_yJgGu1eIremFPVMUuMWUKAjBzvrk/edit?usp=sharing"",""รวมกลาง!S223"")+IMPORTRANGE(""https://docs.google.com/spreadsheets/d/1uenpWDAH2bchvfvsSIjpd4bRU5D1faxJOaE3"&amp;"4GQM5-c/edit?usp=sharing"",""รวมใต้!S223"")"),0)</f>
        <v>0</v>
      </c>
      <c r="T223" s="232"/>
      <c r="U223" s="45"/>
    </row>
    <row r="224" spans="1:21" ht="18.75" x14ac:dyDescent="0.25">
      <c r="A224" s="213"/>
      <c r="B224" s="170"/>
      <c r="C224" s="170"/>
      <c r="D224" s="43" t="s">
        <v>100</v>
      </c>
      <c r="E224" s="36"/>
      <c r="F224" s="36"/>
      <c r="G224" s="38"/>
      <c r="H224" s="148" t="s">
        <v>14</v>
      </c>
      <c r="I224" s="40"/>
      <c r="J224" s="40"/>
      <c r="K224" s="41"/>
      <c r="L224" s="42">
        <f ca="1">IFERROR(__xludf.DUMMYFUNCTION("IMPORTRANGE(""https://docs.google.com/spreadsheets/d/12pGRKgvn2b31Uz_fjAl3XPzZUM_F2_O-zAHL2XHEPZg/edit?usp=sharing"",""รวมเหนือ!L224"")+IMPORTRANGE(""https://docs.google.com/spreadsheets/d/1c0UfJUA6nE6esVMy0kRcX_PENtt96DMxicQpqi3tips/edit?usp=sharing"","""&amp;"รวมตะวันออกเฉียงเหนือ!L224"")+IMPORTRANGE(""https://docs.google.com/spreadsheets/d/1iNWbYmj0agxPDl_yJgGu1eIremFPVMUuMWUKAjBzvrk/edit?usp=sharing"",""รวมกลาง!L224"")+IMPORTRANGE(""https://docs.google.com/spreadsheets/d/1uenpWDAH2bchvfvsSIjpd4bRU5D1faxJOaE3"&amp;"4GQM5-c/edit?usp=sharing"",""รวมใต้!L224"")"),310000)</f>
        <v>310000</v>
      </c>
      <c r="M224" s="42">
        <f ca="1">IFERROR(__xludf.DUMMYFUNCTION("IMPORTRANGE(""https://docs.google.com/spreadsheets/d/12pGRKgvn2b31Uz_fjAl3XPzZUM_F2_O-zAHL2XHEPZg/edit?usp=sharing"",""รวมเหนือ!M224"")+IMPORTRANGE(""https://docs.google.com/spreadsheets/d/1c0UfJUA6nE6esVMy0kRcX_PENtt96DMxicQpqi3tips/edit?usp=sharing"","""&amp;"รวมตะวันออกเฉียงเหนือ!M224"")+IMPORTRANGE(""https://docs.google.com/spreadsheets/d/1iNWbYmj0agxPDl_yJgGu1eIremFPVMUuMWUKAjBzvrk/edit?usp=sharing"",""รวมกลาง!M224"")+IMPORTRANGE(""https://docs.google.com/spreadsheets/d/1uenpWDAH2bchvfvsSIjpd4bRU5D1faxJOaE3"&amp;"4GQM5-c/edit?usp=sharing"",""รวมใต้!M224"")"),0)</f>
        <v>0</v>
      </c>
      <c r="N224" s="42">
        <f ca="1">IFERROR(__xludf.DUMMYFUNCTION("IMPORTRANGE(""https://docs.google.com/spreadsheets/d/12pGRKgvn2b31Uz_fjAl3XPzZUM_F2_O-zAHL2XHEPZg/edit?usp=sharing"",""รวมเหนือ!N224"")+IMPORTRANGE(""https://docs.google.com/spreadsheets/d/1c0UfJUA6nE6esVMy0kRcX_PENtt96DMxicQpqi3tips/edit?usp=sharing"","""&amp;"รวมตะวันออกเฉียงเหนือ!N224"")+IMPORTRANGE(""https://docs.google.com/spreadsheets/d/1iNWbYmj0agxPDl_yJgGu1eIremFPVMUuMWUKAjBzvrk/edit?usp=sharing"",""รวมกลาง!N224"")+IMPORTRANGE(""https://docs.google.com/spreadsheets/d/1uenpWDAH2bchvfvsSIjpd4bRU5D1faxJOaE3"&amp;"4GQM5-c/edit?usp=sharing"",""รวมใต้!N224"")"),304600)</f>
        <v>304600</v>
      </c>
      <c r="O224" s="150"/>
      <c r="P224" s="41"/>
      <c r="Q224" s="42">
        <f ca="1">IFERROR(__xludf.DUMMYFUNCTION("IMPORTRANGE(""https://docs.google.com/spreadsheets/d/12pGRKgvn2b31Uz_fjAl3XPzZUM_F2_O-zAHL2XHEPZg/edit?usp=sharing"",""รวมเหนือ!Q224"")+IMPORTRANGE(""https://docs.google.com/spreadsheets/d/1c0UfJUA6nE6esVMy0kRcX_PENtt96DMxicQpqi3tips/edit?usp=sharing"","""&amp;"รวมตะวันออกเฉียงเหนือ!Q224"")+IMPORTRANGE(""https://docs.google.com/spreadsheets/d/1iNWbYmj0agxPDl_yJgGu1eIremFPVMUuMWUKAjBzvrk/edit?usp=sharing"",""รวมกลาง!Q224"")+IMPORTRANGE(""https://docs.google.com/spreadsheets/d/1uenpWDAH2bchvfvsSIjpd4bRU5D1faxJOaE3"&amp;"4GQM5-c/edit?usp=sharing"",""รวมใต้!Q224"")"),0)</f>
        <v>0</v>
      </c>
      <c r="R224" s="42">
        <f ca="1">IFERROR(__xludf.DUMMYFUNCTION("IMPORTRANGE(""https://docs.google.com/spreadsheets/d/12pGRKgvn2b31Uz_fjAl3XPzZUM_F2_O-zAHL2XHEPZg/edit?usp=sharing"",""รวมเหนือ!R224"")+IMPORTRANGE(""https://docs.google.com/spreadsheets/d/1c0UfJUA6nE6esVMy0kRcX_PENtt96DMxicQpqi3tips/edit?usp=sharing"","""&amp;"รวมตะวันออกเฉียงเหนือ!R224"")+IMPORTRANGE(""https://docs.google.com/spreadsheets/d/1iNWbYmj0agxPDl_yJgGu1eIremFPVMUuMWUKAjBzvrk/edit?usp=sharing"",""รวมกลาง!R224"")+IMPORTRANGE(""https://docs.google.com/spreadsheets/d/1uenpWDAH2bchvfvsSIjpd4bRU5D1faxJOaE3"&amp;"4GQM5-c/edit?usp=sharing"",""รวมใต้!R224"")"),0)</f>
        <v>0</v>
      </c>
      <c r="S224" s="42">
        <f ca="1">IFERROR(__xludf.DUMMYFUNCTION("IMPORTRANGE(""https://docs.google.com/spreadsheets/d/12pGRKgvn2b31Uz_fjAl3XPzZUM_F2_O-zAHL2XHEPZg/edit?usp=sharing"",""รวมเหนือ!S224"")+IMPORTRANGE(""https://docs.google.com/spreadsheets/d/1c0UfJUA6nE6esVMy0kRcX_PENtt96DMxicQpqi3tips/edit?usp=sharing"","""&amp;"รวมตะวันออกเฉียงเหนือ!S224"")+IMPORTRANGE(""https://docs.google.com/spreadsheets/d/1iNWbYmj0agxPDl_yJgGu1eIremFPVMUuMWUKAjBzvrk/edit?usp=sharing"",""รวมกลาง!S224"")+IMPORTRANGE(""https://docs.google.com/spreadsheets/d/1uenpWDAH2bchvfvsSIjpd4bRU5D1faxJOaE3"&amp;"4GQM5-c/edit?usp=sharing"",""รวมใต้!S224"")"),0)</f>
        <v>0</v>
      </c>
      <c r="T224" s="232"/>
      <c r="U224" s="45"/>
    </row>
    <row r="225" spans="1:21" ht="18.75" x14ac:dyDescent="0.25">
      <c r="A225" s="213"/>
      <c r="B225" s="170"/>
      <c r="C225" s="170"/>
      <c r="D225" s="36"/>
      <c r="E225" s="36"/>
      <c r="F225" s="36"/>
      <c r="G225" s="38"/>
      <c r="H225" s="186"/>
      <c r="I225" s="40"/>
      <c r="J225" s="40"/>
      <c r="K225" s="41"/>
      <c r="L225" s="41"/>
      <c r="M225" s="41"/>
      <c r="N225" s="41"/>
      <c r="O225" s="41"/>
      <c r="P225" s="41"/>
      <c r="Q225" s="41"/>
      <c r="R225" s="41"/>
      <c r="S225" s="41"/>
      <c r="T225" s="232"/>
      <c r="U225" s="45"/>
    </row>
    <row r="226" spans="1:21" ht="19.5" x14ac:dyDescent="0.3">
      <c r="A226" s="152"/>
      <c r="B226" s="153"/>
      <c r="C226" s="143" t="s">
        <v>18</v>
      </c>
      <c r="D226" s="154" t="s">
        <v>38</v>
      </c>
      <c r="E226" s="155"/>
      <c r="F226" s="155"/>
      <c r="G226" s="156"/>
      <c r="H226" s="157"/>
      <c r="I226" s="149"/>
      <c r="J226" s="149"/>
      <c r="K226" s="150"/>
      <c r="L226" s="150"/>
      <c r="M226" s="150"/>
      <c r="N226" s="150"/>
      <c r="O226" s="150"/>
      <c r="P226" s="150"/>
      <c r="Q226" s="150"/>
      <c r="R226" s="150"/>
      <c r="S226" s="150"/>
      <c r="T226" s="232"/>
      <c r="U226" s="232"/>
    </row>
    <row r="227" spans="1:21" ht="18.75" x14ac:dyDescent="0.25">
      <c r="A227" s="152"/>
      <c r="B227" s="153"/>
      <c r="C227" s="153"/>
      <c r="D227" s="43" t="s">
        <v>101</v>
      </c>
      <c r="E227" s="159"/>
      <c r="F227" s="159"/>
      <c r="G227" s="157"/>
      <c r="H227" s="157"/>
      <c r="I227" s="40"/>
      <c r="J227" s="40"/>
      <c r="K227" s="150"/>
      <c r="L227" s="150"/>
      <c r="M227" s="150"/>
      <c r="N227" s="150"/>
      <c r="O227" s="150"/>
      <c r="P227" s="150"/>
      <c r="Q227" s="150"/>
      <c r="R227" s="150"/>
      <c r="S227" s="150"/>
      <c r="T227" s="232"/>
      <c r="U227" s="232"/>
    </row>
    <row r="228" spans="1:21" ht="18.75" x14ac:dyDescent="0.25">
      <c r="A228" s="152"/>
      <c r="B228" s="153"/>
      <c r="C228" s="153"/>
      <c r="D228" s="153"/>
      <c r="E228" s="158" t="s">
        <v>102</v>
      </c>
      <c r="F228" s="159"/>
      <c r="G228" s="157"/>
      <c r="H228" s="164" t="s">
        <v>99</v>
      </c>
      <c r="I228" s="176">
        <f ca="1">IFERROR(__xludf.DUMMYFUNCTION("IMPORTRANGE(""https://docs.google.com/spreadsheets/d/12pGRKgvn2b31Uz_fjAl3XPzZUM_F2_O-zAHL2XHEPZg/edit?usp=sharing"",""รวมเหนือ!I228"")+IMPORTRANGE(""https://docs.google.com/spreadsheets/d/1c0UfJUA6nE6esVMy0kRcX_PENtt96DMxicQpqi3tips/edit?usp=sharing"","""&amp;"รวมตะวันออกเฉียงเหนือ!I228"")+IMPORTRANGE(""https://docs.google.com/spreadsheets/d/1iNWbYmj0agxPDl_yJgGu1eIremFPVMUuMWUKAjBzvrk/edit?usp=sharing"",""รวมกลาง!I228"")+IMPORTRANGE(""https://docs.google.com/spreadsheets/d/1uenpWDAH2bchvfvsSIjpd4bRU5D1faxJOaE3"&amp;"4GQM5-c/edit?usp=sharing"",""รวมใต้!I228"")"),2633000)</f>
        <v>2633000</v>
      </c>
      <c r="J228" s="176">
        <f ca="1">IFERROR(__xludf.DUMMYFUNCTION("IMPORTRANGE(""https://docs.google.com/spreadsheets/d/12pGRKgvn2b31Uz_fjAl3XPzZUM_F2_O-zAHL2XHEPZg/edit?usp=sharing"",""รวมเหนือ!J228"")+IMPORTRANGE(""https://docs.google.com/spreadsheets/d/1c0UfJUA6nE6esVMy0kRcX_PENtt96DMxicQpqi3tips/edit?usp=sharing"","""&amp;"รวมตะวันออกเฉียงเหนือ!J228"")+IMPORTRANGE(""https://docs.google.com/spreadsheets/d/1iNWbYmj0agxPDl_yJgGu1eIremFPVMUuMWUKAjBzvrk/edit?usp=sharing"",""รวมกลาง!J228"")+IMPORTRANGE(""https://docs.google.com/spreadsheets/d/1uenpWDAH2bchvfvsSIjpd4bRU5D1faxJOaE3"&amp;"4GQM5-c/edit?usp=sharing"",""รวมใต้!J228"")"),2655200)</f>
        <v>2655200</v>
      </c>
      <c r="K228" s="166">
        <f t="shared" ref="K228:K231" ca="1" si="167">IF(I228&gt;0,J228*100/I228,0)</f>
        <v>100.84314470186099</v>
      </c>
      <c r="L228" s="150"/>
      <c r="M228" s="150"/>
      <c r="N228" s="150"/>
      <c r="O228" s="150"/>
      <c r="P228" s="150"/>
      <c r="Q228" s="150"/>
      <c r="R228" s="150"/>
      <c r="S228" s="150"/>
      <c r="T228" s="232"/>
      <c r="U228" s="232"/>
    </row>
    <row r="229" spans="1:21" ht="18.75" x14ac:dyDescent="0.25">
      <c r="A229" s="152"/>
      <c r="B229" s="153"/>
      <c r="C229" s="153"/>
      <c r="D229" s="153"/>
      <c r="E229" s="158" t="s">
        <v>103</v>
      </c>
      <c r="F229" s="159"/>
      <c r="G229" s="157"/>
      <c r="H229" s="164" t="s">
        <v>99</v>
      </c>
      <c r="I229" s="176">
        <f ca="1">IFERROR(__xludf.DUMMYFUNCTION("IMPORTRANGE(""https://docs.google.com/spreadsheets/d/12pGRKgvn2b31Uz_fjAl3XPzZUM_F2_O-zAHL2XHEPZg/edit?usp=sharing"",""รวมเหนือ!I229"")+IMPORTRANGE(""https://docs.google.com/spreadsheets/d/1c0UfJUA6nE6esVMy0kRcX_PENtt96DMxicQpqi3tips/edit?usp=sharing"","""&amp;"รวมตะวันออกเฉียงเหนือ!I229"")+IMPORTRANGE(""https://docs.google.com/spreadsheets/d/1iNWbYmj0agxPDl_yJgGu1eIremFPVMUuMWUKAjBzvrk/edit?usp=sharing"",""รวมกลาง!I229"")+IMPORTRANGE(""https://docs.google.com/spreadsheets/d/1uenpWDAH2bchvfvsSIjpd4bRU5D1faxJOaE3"&amp;"4GQM5-c/edit?usp=sharing"",""รวมใต้!I229"")"),2633000)</f>
        <v>2633000</v>
      </c>
      <c r="J229" s="176">
        <f ca="1">IFERROR(__xludf.DUMMYFUNCTION("IMPORTRANGE(""https://docs.google.com/spreadsheets/d/12pGRKgvn2b31Uz_fjAl3XPzZUM_F2_O-zAHL2XHEPZg/edit?usp=sharing"",""รวมเหนือ!J229"")+IMPORTRANGE(""https://docs.google.com/spreadsheets/d/1c0UfJUA6nE6esVMy0kRcX_PENtt96DMxicQpqi3tips/edit?usp=sharing"","""&amp;"รวมตะวันออกเฉียงเหนือ!J229"")+IMPORTRANGE(""https://docs.google.com/spreadsheets/d/1iNWbYmj0agxPDl_yJgGu1eIremFPVMUuMWUKAjBzvrk/edit?usp=sharing"",""รวมกลาง!J229"")+IMPORTRANGE(""https://docs.google.com/spreadsheets/d/1uenpWDAH2bchvfvsSIjpd4bRU5D1faxJOaE3"&amp;"4GQM5-c/edit?usp=sharing"",""รวมใต้!J229"")"),2665400)</f>
        <v>2665400</v>
      </c>
      <c r="K229" s="166">
        <f t="shared" ca="1" si="167"/>
        <v>101.23053551082415</v>
      </c>
      <c r="L229" s="41"/>
      <c r="M229" s="41"/>
      <c r="N229" s="41"/>
      <c r="O229" s="41"/>
      <c r="P229" s="41"/>
      <c r="Q229" s="41"/>
      <c r="R229" s="41"/>
      <c r="S229" s="41"/>
      <c r="T229" s="45"/>
      <c r="U229" s="45"/>
    </row>
    <row r="230" spans="1:21" ht="18.75" x14ac:dyDescent="0.25">
      <c r="A230" s="152"/>
      <c r="B230" s="153"/>
      <c r="C230" s="153"/>
      <c r="D230" s="43" t="s">
        <v>104</v>
      </c>
      <c r="E230" s="159"/>
      <c r="F230" s="159"/>
      <c r="G230" s="157"/>
      <c r="H230" s="164" t="s">
        <v>35</v>
      </c>
      <c r="I230" s="176">
        <f ca="1">IFERROR(__xludf.DUMMYFUNCTION("IMPORTRANGE(""https://docs.google.com/spreadsheets/d/12pGRKgvn2b31Uz_fjAl3XPzZUM_F2_O-zAHL2XHEPZg/edit?usp=sharing"",""รวมเหนือ!I230"")+IMPORTRANGE(""https://docs.google.com/spreadsheets/d/1c0UfJUA6nE6esVMy0kRcX_PENtt96DMxicQpqi3tips/edit?usp=sharing"","""&amp;"รวมตะวันออกเฉียงเหนือ!I230"")+IMPORTRANGE(""https://docs.google.com/spreadsheets/d/1iNWbYmj0agxPDl_yJgGu1eIremFPVMUuMWUKAjBzvrk/edit?usp=sharing"",""รวมกลาง!I230"")+IMPORTRANGE(""https://docs.google.com/spreadsheets/d/1uenpWDAH2bchvfvsSIjpd4bRU5D1faxJOaE3"&amp;"4GQM5-c/edit?usp=sharing"",""รวมใต้!I230"")"),0)</f>
        <v>0</v>
      </c>
      <c r="J230" s="176">
        <f ca="1">IFERROR(__xludf.DUMMYFUNCTION("IMPORTRANGE(""https://docs.google.com/spreadsheets/d/12pGRKgvn2b31Uz_fjAl3XPzZUM_F2_O-zAHL2XHEPZg/edit?usp=sharing"",""รวมเหนือ!J230"")+IMPORTRANGE(""https://docs.google.com/spreadsheets/d/1c0UfJUA6nE6esVMy0kRcX_PENtt96DMxicQpqi3tips/edit?usp=sharing"","""&amp;"รวมตะวันออกเฉียงเหนือ!J230"")+IMPORTRANGE(""https://docs.google.com/spreadsheets/d/1iNWbYmj0agxPDl_yJgGu1eIremFPVMUuMWUKAjBzvrk/edit?usp=sharing"",""รวมกลาง!J230"")+IMPORTRANGE(""https://docs.google.com/spreadsheets/d/1uenpWDAH2bchvfvsSIjpd4bRU5D1faxJOaE3"&amp;"4GQM5-c/edit?usp=sharing"",""รวมใต้!J230"")"),11)</f>
        <v>11</v>
      </c>
      <c r="K230" s="166">
        <f t="shared" ca="1" si="167"/>
        <v>0</v>
      </c>
      <c r="L230" s="41"/>
      <c r="M230" s="41"/>
      <c r="N230" s="41"/>
      <c r="O230" s="41"/>
      <c r="P230" s="41"/>
      <c r="Q230" s="41"/>
      <c r="R230" s="41"/>
      <c r="S230" s="41"/>
      <c r="T230" s="45"/>
      <c r="U230" s="45"/>
    </row>
    <row r="231" spans="1:21" ht="19.5" x14ac:dyDescent="0.3">
      <c r="A231" s="216"/>
      <c r="B231" s="217"/>
      <c r="C231" s="218" t="s">
        <v>105</v>
      </c>
      <c r="D231" s="219"/>
      <c r="E231" s="219"/>
      <c r="F231" s="219"/>
      <c r="G231" s="220"/>
      <c r="H231" s="221" t="s">
        <v>35</v>
      </c>
      <c r="I231" s="222">
        <f t="shared" ref="I231:J231" ca="1" si="168">I238</f>
        <v>1130</v>
      </c>
      <c r="J231" s="222">
        <f t="shared" ca="1" si="168"/>
        <v>1145</v>
      </c>
      <c r="K231" s="223">
        <f t="shared" ca="1" si="167"/>
        <v>101.32743362831859</v>
      </c>
      <c r="L231" s="224"/>
      <c r="M231" s="224"/>
      <c r="N231" s="224"/>
      <c r="O231" s="224"/>
      <c r="P231" s="224"/>
      <c r="Q231" s="224"/>
      <c r="R231" s="224"/>
      <c r="S231" s="224"/>
      <c r="T231" s="225"/>
      <c r="U231" s="225"/>
    </row>
    <row r="232" spans="1:21" ht="19.5" x14ac:dyDescent="0.3">
      <c r="A232" s="142"/>
      <c r="B232" s="36"/>
      <c r="C232" s="143" t="s">
        <v>18</v>
      </c>
      <c r="D232" s="144" t="s">
        <v>19</v>
      </c>
      <c r="E232" s="36"/>
      <c r="F232" s="36"/>
      <c r="G232" s="38"/>
      <c r="H232" s="227" t="s">
        <v>14</v>
      </c>
      <c r="I232" s="149"/>
      <c r="J232" s="149"/>
      <c r="K232" s="150"/>
      <c r="L232" s="146">
        <f t="shared" ref="L232:N232" ca="1" si="169">L233+L234+L235+L236</f>
        <v>4125738</v>
      </c>
      <c r="M232" s="146">
        <f t="shared" ca="1" si="169"/>
        <v>0</v>
      </c>
      <c r="N232" s="146">
        <f t="shared" ca="1" si="169"/>
        <v>4119731</v>
      </c>
      <c r="O232" s="146">
        <f ca="1">IF(L232&gt;0,N232*100/L232,0)</f>
        <v>99.854401806416206</v>
      </c>
      <c r="P232" s="41"/>
      <c r="Q232" s="146">
        <f t="shared" ref="Q232:S232" ca="1" si="170">Q233+Q234+Q235+Q236</f>
        <v>860100</v>
      </c>
      <c r="R232" s="146">
        <f t="shared" ca="1" si="170"/>
        <v>0</v>
      </c>
      <c r="S232" s="146">
        <f t="shared" ca="1" si="170"/>
        <v>789455</v>
      </c>
      <c r="T232" s="228">
        <f ca="1">IF(Q232&gt;0,S232*100/Q232,0)</f>
        <v>91.786420183699576</v>
      </c>
      <c r="U232" s="45"/>
    </row>
    <row r="233" spans="1:21" ht="18.75" x14ac:dyDescent="0.25">
      <c r="A233" s="142"/>
      <c r="B233" s="170"/>
      <c r="C233" s="36"/>
      <c r="D233" s="43" t="s">
        <v>86</v>
      </c>
      <c r="E233" s="36"/>
      <c r="F233" s="36"/>
      <c r="G233" s="38"/>
      <c r="H233" s="148" t="s">
        <v>14</v>
      </c>
      <c r="I233" s="149"/>
      <c r="J233" s="149"/>
      <c r="K233" s="150"/>
      <c r="L233" s="42">
        <f ca="1">IFERROR(__xludf.DUMMYFUNCTION("IMPORTRANGE(""https://docs.google.com/spreadsheets/d/12pGRKgvn2b31Uz_fjAl3XPzZUM_F2_O-zAHL2XHEPZg/edit?usp=sharing"",""รวมเหนือ!L233"")+IMPORTRANGE(""https://docs.google.com/spreadsheets/d/1c0UfJUA6nE6esVMy0kRcX_PENtt96DMxicQpqi3tips/edit?usp=sharing"","""&amp;"รวมตะวันออกเฉียงเหนือ!L233"")+IMPORTRANGE(""https://docs.google.com/spreadsheets/d/1iNWbYmj0agxPDl_yJgGu1eIremFPVMUuMWUKAjBzvrk/edit?usp=sharing"",""รวมกลาง!L233"")+IMPORTRANGE(""https://docs.google.com/spreadsheets/d/1uenpWDAH2bchvfvsSIjpd4bRU5D1faxJOaE3"&amp;"4GQM5-c/edit?usp=sharing"",""รวมใต้!L233"")"),1491200)</f>
        <v>1491200</v>
      </c>
      <c r="M233" s="42">
        <f ca="1">IFERROR(__xludf.DUMMYFUNCTION("IMPORTRANGE(""https://docs.google.com/spreadsheets/d/12pGRKgvn2b31Uz_fjAl3XPzZUM_F2_O-zAHL2XHEPZg/edit?usp=sharing"",""รวมเหนือ!M233"")+IMPORTRANGE(""https://docs.google.com/spreadsheets/d/1c0UfJUA6nE6esVMy0kRcX_PENtt96DMxicQpqi3tips/edit?usp=sharing"","""&amp;"รวมตะวันออกเฉียงเหนือ!M233"")+IMPORTRANGE(""https://docs.google.com/spreadsheets/d/1iNWbYmj0agxPDl_yJgGu1eIremFPVMUuMWUKAjBzvrk/edit?usp=sharing"",""รวมกลาง!M233"")+IMPORTRANGE(""https://docs.google.com/spreadsheets/d/1uenpWDAH2bchvfvsSIjpd4bRU5D1faxJOaE3"&amp;"4GQM5-c/edit?usp=sharing"",""รวมใต้!M233"")"),0)</f>
        <v>0</v>
      </c>
      <c r="N233" s="42">
        <f ca="1">IFERROR(__xludf.DUMMYFUNCTION("IMPORTRANGE(""https://docs.google.com/spreadsheets/d/12pGRKgvn2b31Uz_fjAl3XPzZUM_F2_O-zAHL2XHEPZg/edit?usp=sharing"",""รวมเหนือ!N233"")+IMPORTRANGE(""https://docs.google.com/spreadsheets/d/1c0UfJUA6nE6esVMy0kRcX_PENtt96DMxicQpqi3tips/edit?usp=sharing"","""&amp;"รวมตะวันออกเฉียงเหนือ!N233"")+IMPORTRANGE(""https://docs.google.com/spreadsheets/d/1iNWbYmj0agxPDl_yJgGu1eIremFPVMUuMWUKAjBzvrk/edit?usp=sharing"",""รวมกลาง!N233"")+IMPORTRANGE(""https://docs.google.com/spreadsheets/d/1uenpWDAH2bchvfvsSIjpd4bRU5D1faxJOaE3"&amp;"4GQM5-c/edit?usp=sharing"",""รวมใต้!N233"")"),705204.58)</f>
        <v>705204.58</v>
      </c>
      <c r="O233" s="41"/>
      <c r="P233" s="41"/>
      <c r="Q233" s="42">
        <f ca="1">IFERROR(__xludf.DUMMYFUNCTION("IMPORTRANGE(""https://docs.google.com/spreadsheets/d/12pGRKgvn2b31Uz_fjAl3XPzZUM_F2_O-zAHL2XHEPZg/edit?usp=sharing"",""รวมเหนือ!Q233"")+IMPORTRANGE(""https://docs.google.com/spreadsheets/d/1c0UfJUA6nE6esVMy0kRcX_PENtt96DMxicQpqi3tips/edit?usp=sharing"","""&amp;"รวมตะวันออกเฉียงเหนือ!Q233"")+IMPORTRANGE(""https://docs.google.com/spreadsheets/d/1iNWbYmj0agxPDl_yJgGu1eIremFPVMUuMWUKAjBzvrk/edit?usp=sharing"",""รวมกลาง!Q233"")+IMPORTRANGE(""https://docs.google.com/spreadsheets/d/1uenpWDAH2bchvfvsSIjpd4bRU5D1faxJOaE3"&amp;"4GQM5-c/edit?usp=sharing"",""รวมใต้!Q233"")"),0)</f>
        <v>0</v>
      </c>
      <c r="R233" s="42">
        <f ca="1">IFERROR(__xludf.DUMMYFUNCTION("IMPORTRANGE(""https://docs.google.com/spreadsheets/d/12pGRKgvn2b31Uz_fjAl3XPzZUM_F2_O-zAHL2XHEPZg/edit?usp=sharing"",""รวมเหนือ!R233"")+IMPORTRANGE(""https://docs.google.com/spreadsheets/d/1c0UfJUA6nE6esVMy0kRcX_PENtt96DMxicQpqi3tips/edit?usp=sharing"","""&amp;"รวมตะวันออกเฉียงเหนือ!R233"")+IMPORTRANGE(""https://docs.google.com/spreadsheets/d/1iNWbYmj0agxPDl_yJgGu1eIremFPVMUuMWUKAjBzvrk/edit?usp=sharing"",""รวมกลาง!R233"")+IMPORTRANGE(""https://docs.google.com/spreadsheets/d/1uenpWDAH2bchvfvsSIjpd4bRU5D1faxJOaE3"&amp;"4GQM5-c/edit?usp=sharing"",""รวมใต้!R233"")"),0)</f>
        <v>0</v>
      </c>
      <c r="S233" s="42">
        <f ca="1">IFERROR(__xludf.DUMMYFUNCTION("IMPORTRANGE(""https://docs.google.com/spreadsheets/d/12pGRKgvn2b31Uz_fjAl3XPzZUM_F2_O-zAHL2XHEPZg/edit?usp=sharing"",""รวมเหนือ!S233"")+IMPORTRANGE(""https://docs.google.com/spreadsheets/d/1c0UfJUA6nE6esVMy0kRcX_PENtt96DMxicQpqi3tips/edit?usp=sharing"","""&amp;"รวมตะวันออกเฉียงเหนือ!S233"")+IMPORTRANGE(""https://docs.google.com/spreadsheets/d/1iNWbYmj0agxPDl_yJgGu1eIremFPVMUuMWUKAjBzvrk/edit?usp=sharing"",""รวมกลาง!S233"")+IMPORTRANGE(""https://docs.google.com/spreadsheets/d/1uenpWDAH2bchvfvsSIjpd4bRU5D1faxJOaE3"&amp;"4GQM5-c/edit?usp=sharing"",""รวมใต้!S233"")"),0)</f>
        <v>0</v>
      </c>
      <c r="T233" s="45"/>
      <c r="U233" s="45"/>
    </row>
    <row r="234" spans="1:21" ht="18.75" x14ac:dyDescent="0.25">
      <c r="A234" s="213"/>
      <c r="B234" s="170"/>
      <c r="C234" s="170"/>
      <c r="D234" s="43" t="s">
        <v>106</v>
      </c>
      <c r="E234" s="36"/>
      <c r="F234" s="36"/>
      <c r="G234" s="38"/>
      <c r="H234" s="148" t="s">
        <v>14</v>
      </c>
      <c r="I234" s="40"/>
      <c r="J234" s="40"/>
      <c r="K234" s="41"/>
      <c r="L234" s="42">
        <f ca="1">IFERROR(__xludf.DUMMYFUNCTION("IMPORTRANGE(""https://docs.google.com/spreadsheets/d/12pGRKgvn2b31Uz_fjAl3XPzZUM_F2_O-zAHL2XHEPZg/edit?usp=sharing"",""รวมเหนือ!L234"")+IMPORTRANGE(""https://docs.google.com/spreadsheets/d/1c0UfJUA6nE6esVMy0kRcX_PENtt96DMxicQpqi3tips/edit?usp=sharing"","""&amp;"รวมตะวันออกเฉียงเหนือ!L234"")+IMPORTRANGE(""https://docs.google.com/spreadsheets/d/1iNWbYmj0agxPDl_yJgGu1eIremFPVMUuMWUKAjBzvrk/edit?usp=sharing"",""รวมกลาง!L234"")+IMPORTRANGE(""https://docs.google.com/spreadsheets/d/1uenpWDAH2bchvfvsSIjpd4bRU5D1faxJOaE3"&amp;"4GQM5-c/edit?usp=sharing"",""รวมใต้!L234"")"),383200)</f>
        <v>383200</v>
      </c>
      <c r="M234" s="42">
        <f ca="1">IFERROR(__xludf.DUMMYFUNCTION("IMPORTRANGE(""https://docs.google.com/spreadsheets/d/12pGRKgvn2b31Uz_fjAl3XPzZUM_F2_O-zAHL2XHEPZg/edit?usp=sharing"",""รวมเหนือ!M234"")+IMPORTRANGE(""https://docs.google.com/spreadsheets/d/1c0UfJUA6nE6esVMy0kRcX_PENtt96DMxicQpqi3tips/edit?usp=sharing"","""&amp;"รวมตะวันออกเฉียงเหนือ!M234"")+IMPORTRANGE(""https://docs.google.com/spreadsheets/d/1iNWbYmj0agxPDl_yJgGu1eIremFPVMUuMWUKAjBzvrk/edit?usp=sharing"",""รวมกลาง!M234"")+IMPORTRANGE(""https://docs.google.com/spreadsheets/d/1uenpWDAH2bchvfvsSIjpd4bRU5D1faxJOaE3"&amp;"4GQM5-c/edit?usp=sharing"",""รวมใต้!M234"")"),0)</f>
        <v>0</v>
      </c>
      <c r="N234" s="42">
        <f ca="1">IFERROR(__xludf.DUMMYFUNCTION("IMPORTRANGE(""https://docs.google.com/spreadsheets/d/12pGRKgvn2b31Uz_fjAl3XPzZUM_F2_O-zAHL2XHEPZg/edit?usp=sharing"",""รวมเหนือ!N234"")+IMPORTRANGE(""https://docs.google.com/spreadsheets/d/1c0UfJUA6nE6esVMy0kRcX_PENtt96DMxicQpqi3tips/edit?usp=sharing"","""&amp;"รวมตะวันออกเฉียงเหนือ!N234"")+IMPORTRANGE(""https://docs.google.com/spreadsheets/d/1iNWbYmj0agxPDl_yJgGu1eIremFPVMUuMWUKAjBzvrk/edit?usp=sharing"",""รวมกลาง!N234"")+IMPORTRANGE(""https://docs.google.com/spreadsheets/d/1uenpWDAH2bchvfvsSIjpd4bRU5D1faxJOaE3"&amp;"4GQM5-c/edit?usp=sharing"",""รวมใต้!N234"")"),1143121.02)</f>
        <v>1143121.02</v>
      </c>
      <c r="O234" s="41"/>
      <c r="P234" s="41"/>
      <c r="Q234" s="42">
        <f ca="1">IFERROR(__xludf.DUMMYFUNCTION("IMPORTRANGE(""https://docs.google.com/spreadsheets/d/12pGRKgvn2b31Uz_fjAl3XPzZUM_F2_O-zAHL2XHEPZg/edit?usp=sharing"",""รวมเหนือ!Q234"")+IMPORTRANGE(""https://docs.google.com/spreadsheets/d/1c0UfJUA6nE6esVMy0kRcX_PENtt96DMxicQpqi3tips/edit?usp=sharing"","""&amp;"รวมตะวันออกเฉียงเหนือ!Q234"")+IMPORTRANGE(""https://docs.google.com/spreadsheets/d/1iNWbYmj0agxPDl_yJgGu1eIremFPVMUuMWUKAjBzvrk/edit?usp=sharing"",""รวมกลาง!Q234"")+IMPORTRANGE(""https://docs.google.com/spreadsheets/d/1uenpWDAH2bchvfvsSIjpd4bRU5D1faxJOaE3"&amp;"4GQM5-c/edit?usp=sharing"",""รวมใต้!Q234"")"),0)</f>
        <v>0</v>
      </c>
      <c r="R234" s="42">
        <f ca="1">IFERROR(__xludf.DUMMYFUNCTION("IMPORTRANGE(""https://docs.google.com/spreadsheets/d/12pGRKgvn2b31Uz_fjAl3XPzZUM_F2_O-zAHL2XHEPZg/edit?usp=sharing"",""รวมเหนือ!R234"")+IMPORTRANGE(""https://docs.google.com/spreadsheets/d/1c0UfJUA6nE6esVMy0kRcX_PENtt96DMxicQpqi3tips/edit?usp=sharing"","""&amp;"รวมตะวันออกเฉียงเหนือ!R234"")+IMPORTRANGE(""https://docs.google.com/spreadsheets/d/1iNWbYmj0agxPDl_yJgGu1eIremFPVMUuMWUKAjBzvrk/edit?usp=sharing"",""รวมกลาง!R234"")+IMPORTRANGE(""https://docs.google.com/spreadsheets/d/1uenpWDAH2bchvfvsSIjpd4bRU5D1faxJOaE3"&amp;"4GQM5-c/edit?usp=sharing"",""รวมใต้!R234"")"),0)</f>
        <v>0</v>
      </c>
      <c r="S234" s="42">
        <f ca="1">IFERROR(__xludf.DUMMYFUNCTION("IMPORTRANGE(""https://docs.google.com/spreadsheets/d/12pGRKgvn2b31Uz_fjAl3XPzZUM_F2_O-zAHL2XHEPZg/edit?usp=sharing"",""รวมเหนือ!S234"")+IMPORTRANGE(""https://docs.google.com/spreadsheets/d/1c0UfJUA6nE6esVMy0kRcX_PENtt96DMxicQpqi3tips/edit?usp=sharing"","""&amp;"รวมตะวันออกเฉียงเหนือ!S234"")+IMPORTRANGE(""https://docs.google.com/spreadsheets/d/1iNWbYmj0agxPDl_yJgGu1eIremFPVMUuMWUKAjBzvrk/edit?usp=sharing"",""รวมกลาง!S234"")+IMPORTRANGE(""https://docs.google.com/spreadsheets/d/1uenpWDAH2bchvfvsSIjpd4bRU5D1faxJOaE3"&amp;"4GQM5-c/edit?usp=sharing"",""รวมใต้!S234"")"),0)</f>
        <v>0</v>
      </c>
      <c r="T234" s="45"/>
      <c r="U234" s="45"/>
    </row>
    <row r="235" spans="1:21" ht="18.75" x14ac:dyDescent="0.25">
      <c r="A235" s="213"/>
      <c r="B235" s="170"/>
      <c r="C235" s="170"/>
      <c r="D235" s="43" t="s">
        <v>88</v>
      </c>
      <c r="E235" s="36"/>
      <c r="F235" s="36"/>
      <c r="G235" s="38"/>
      <c r="H235" s="148" t="s">
        <v>14</v>
      </c>
      <c r="I235" s="40"/>
      <c r="J235" s="40"/>
      <c r="K235" s="41"/>
      <c r="L235" s="42">
        <f ca="1">IFERROR(__xludf.DUMMYFUNCTION("IMPORTRANGE(""https://docs.google.com/spreadsheets/d/12pGRKgvn2b31Uz_fjAl3XPzZUM_F2_O-zAHL2XHEPZg/edit?usp=sharing"",""รวมเหนือ!L235"")+IMPORTRANGE(""https://docs.google.com/spreadsheets/d/1c0UfJUA6nE6esVMy0kRcX_PENtt96DMxicQpqi3tips/edit?usp=sharing"","""&amp;"รวมตะวันออกเฉียงเหนือ!L235"")+IMPORTRANGE(""https://docs.google.com/spreadsheets/d/1iNWbYmj0agxPDl_yJgGu1eIremFPVMUuMWUKAjBzvrk/edit?usp=sharing"",""รวมกลาง!L235"")+IMPORTRANGE(""https://docs.google.com/spreadsheets/d/1uenpWDAH2bchvfvsSIjpd4bRU5D1faxJOaE3"&amp;"4GQM5-c/edit?usp=sharing"",""รวมใต้!L235"")"),907838)</f>
        <v>907838</v>
      </c>
      <c r="M235" s="42">
        <f ca="1">IFERROR(__xludf.DUMMYFUNCTION("IMPORTRANGE(""https://docs.google.com/spreadsheets/d/12pGRKgvn2b31Uz_fjAl3XPzZUM_F2_O-zAHL2XHEPZg/edit?usp=sharing"",""รวมเหนือ!M235"")+IMPORTRANGE(""https://docs.google.com/spreadsheets/d/1c0UfJUA6nE6esVMy0kRcX_PENtt96DMxicQpqi3tips/edit?usp=sharing"","""&amp;"รวมตะวันออกเฉียงเหนือ!M235"")+IMPORTRANGE(""https://docs.google.com/spreadsheets/d/1iNWbYmj0agxPDl_yJgGu1eIremFPVMUuMWUKAjBzvrk/edit?usp=sharing"",""รวมกลาง!M235"")+IMPORTRANGE(""https://docs.google.com/spreadsheets/d/1uenpWDAH2bchvfvsSIjpd4bRU5D1faxJOaE3"&amp;"4GQM5-c/edit?usp=sharing"",""รวมใต้!M235"")"),0)</f>
        <v>0</v>
      </c>
      <c r="N235" s="42">
        <f ca="1">IFERROR(__xludf.DUMMYFUNCTION("IMPORTRANGE(""https://docs.google.com/spreadsheets/d/12pGRKgvn2b31Uz_fjAl3XPzZUM_F2_O-zAHL2XHEPZg/edit?usp=sharing"",""รวมเหนือ!N235"")+IMPORTRANGE(""https://docs.google.com/spreadsheets/d/1c0UfJUA6nE6esVMy0kRcX_PENtt96DMxicQpqi3tips/edit?usp=sharing"","""&amp;"รวมตะวันออกเฉียงเหนือ!N235"")+IMPORTRANGE(""https://docs.google.com/spreadsheets/d/1iNWbYmj0agxPDl_yJgGu1eIremFPVMUuMWUKAjBzvrk/edit?usp=sharing"",""รวมกลาง!N235"")+IMPORTRANGE(""https://docs.google.com/spreadsheets/d/1uenpWDAH2bchvfvsSIjpd4bRU5D1faxJOaE3"&amp;"4GQM5-c/edit?usp=sharing"",""รวมใต้!N235"")"),913331)</f>
        <v>913331</v>
      </c>
      <c r="O235" s="41"/>
      <c r="P235" s="41"/>
      <c r="Q235" s="42">
        <f ca="1">IFERROR(__xludf.DUMMYFUNCTION("IMPORTRANGE(""https://docs.google.com/spreadsheets/d/12pGRKgvn2b31Uz_fjAl3XPzZUM_F2_O-zAHL2XHEPZg/edit?usp=sharing"",""รวมเหนือ!Q235"")+IMPORTRANGE(""https://docs.google.com/spreadsheets/d/1c0UfJUA6nE6esVMy0kRcX_PENtt96DMxicQpqi3tips/edit?usp=sharing"","""&amp;"รวมตะวันออกเฉียงเหนือ!Q235"")+IMPORTRANGE(""https://docs.google.com/spreadsheets/d/1iNWbYmj0agxPDl_yJgGu1eIremFPVMUuMWUKAjBzvrk/edit?usp=sharing"",""รวมกลาง!Q235"")+IMPORTRANGE(""https://docs.google.com/spreadsheets/d/1uenpWDAH2bchvfvsSIjpd4bRU5D1faxJOaE3"&amp;"4GQM5-c/edit?usp=sharing"",""รวมใต้!Q235"")"),860100)</f>
        <v>860100</v>
      </c>
      <c r="R235" s="42">
        <f ca="1">IFERROR(__xludf.DUMMYFUNCTION("IMPORTRANGE(""https://docs.google.com/spreadsheets/d/12pGRKgvn2b31Uz_fjAl3XPzZUM_F2_O-zAHL2XHEPZg/edit?usp=sharing"",""รวมเหนือ!R235"")+IMPORTRANGE(""https://docs.google.com/spreadsheets/d/1c0UfJUA6nE6esVMy0kRcX_PENtt96DMxicQpqi3tips/edit?usp=sharing"","""&amp;"รวมตะวันออกเฉียงเหนือ!R235"")+IMPORTRANGE(""https://docs.google.com/spreadsheets/d/1iNWbYmj0agxPDl_yJgGu1eIremFPVMUuMWUKAjBzvrk/edit?usp=sharing"",""รวมกลาง!R235"")+IMPORTRANGE(""https://docs.google.com/spreadsheets/d/1uenpWDAH2bchvfvsSIjpd4bRU5D1faxJOaE3"&amp;"4GQM5-c/edit?usp=sharing"",""รวมใต้!R235"")"),0)</f>
        <v>0</v>
      </c>
      <c r="S235" s="42">
        <f ca="1">IFERROR(__xludf.DUMMYFUNCTION("IMPORTRANGE(""https://docs.google.com/spreadsheets/d/12pGRKgvn2b31Uz_fjAl3XPzZUM_F2_O-zAHL2XHEPZg/edit?usp=sharing"",""รวมเหนือ!S235"")+IMPORTRANGE(""https://docs.google.com/spreadsheets/d/1c0UfJUA6nE6esVMy0kRcX_PENtt96DMxicQpqi3tips/edit?usp=sharing"","""&amp;"รวมตะวันออกเฉียงเหนือ!S235"")+IMPORTRANGE(""https://docs.google.com/spreadsheets/d/1iNWbYmj0agxPDl_yJgGu1eIremFPVMUuMWUKAjBzvrk/edit?usp=sharing"",""รวมกลาง!S235"")+IMPORTRANGE(""https://docs.google.com/spreadsheets/d/1uenpWDAH2bchvfvsSIjpd4bRU5D1faxJOaE3"&amp;"4GQM5-c/edit?usp=sharing"",""รวมใต้!S235"")"),789455)</f>
        <v>789455</v>
      </c>
      <c r="T235" s="45"/>
      <c r="U235" s="45"/>
    </row>
    <row r="236" spans="1:21" ht="18.75" x14ac:dyDescent="0.25">
      <c r="A236" s="213"/>
      <c r="B236" s="170"/>
      <c r="C236" s="170"/>
      <c r="D236" s="43" t="s">
        <v>89</v>
      </c>
      <c r="E236" s="36"/>
      <c r="F236" s="36"/>
      <c r="G236" s="38"/>
      <c r="H236" s="148" t="s">
        <v>14</v>
      </c>
      <c r="I236" s="40"/>
      <c r="J236" s="40"/>
      <c r="K236" s="41"/>
      <c r="L236" s="42">
        <f ca="1">IFERROR(__xludf.DUMMYFUNCTION("IMPORTRANGE(""https://docs.google.com/spreadsheets/d/12pGRKgvn2b31Uz_fjAl3XPzZUM_F2_O-zAHL2XHEPZg/edit?usp=sharing"",""รวมเหนือ!L236"")+IMPORTRANGE(""https://docs.google.com/spreadsheets/d/1c0UfJUA6nE6esVMy0kRcX_PENtt96DMxicQpqi3tips/edit?usp=sharing"","""&amp;"รวมตะวันออกเฉียงเหนือ!L236"")+IMPORTRANGE(""https://docs.google.com/spreadsheets/d/1iNWbYmj0agxPDl_yJgGu1eIremFPVMUuMWUKAjBzvrk/edit?usp=sharing"",""รวมกลาง!L236"")+IMPORTRANGE(""https://docs.google.com/spreadsheets/d/1uenpWDAH2bchvfvsSIjpd4bRU5D1faxJOaE3"&amp;"4GQM5-c/edit?usp=sharing"",""รวมใต้!L236"")"),1343500)</f>
        <v>1343500</v>
      </c>
      <c r="M236" s="42">
        <f ca="1">IFERROR(__xludf.DUMMYFUNCTION("IMPORTRANGE(""https://docs.google.com/spreadsheets/d/12pGRKgvn2b31Uz_fjAl3XPzZUM_F2_O-zAHL2XHEPZg/edit?usp=sharing"",""รวมเหนือ!M236"")+IMPORTRANGE(""https://docs.google.com/spreadsheets/d/1c0UfJUA6nE6esVMy0kRcX_PENtt96DMxicQpqi3tips/edit?usp=sharing"","""&amp;"รวมตะวันออกเฉียงเหนือ!M236"")+IMPORTRANGE(""https://docs.google.com/spreadsheets/d/1iNWbYmj0agxPDl_yJgGu1eIremFPVMUuMWUKAjBzvrk/edit?usp=sharing"",""รวมกลาง!M236"")+IMPORTRANGE(""https://docs.google.com/spreadsheets/d/1uenpWDAH2bchvfvsSIjpd4bRU5D1faxJOaE3"&amp;"4GQM5-c/edit?usp=sharing"",""รวมใต้!M236"")"),0)</f>
        <v>0</v>
      </c>
      <c r="N236" s="42">
        <f ca="1">IFERROR(__xludf.DUMMYFUNCTION("IMPORTRANGE(""https://docs.google.com/spreadsheets/d/12pGRKgvn2b31Uz_fjAl3XPzZUM_F2_O-zAHL2XHEPZg/edit?usp=sharing"",""รวมเหนือ!N236"")+IMPORTRANGE(""https://docs.google.com/spreadsheets/d/1c0UfJUA6nE6esVMy0kRcX_PENtt96DMxicQpqi3tips/edit?usp=sharing"","""&amp;"รวมตะวันออกเฉียงเหนือ!N236"")+IMPORTRANGE(""https://docs.google.com/spreadsheets/d/1iNWbYmj0agxPDl_yJgGu1eIremFPVMUuMWUKAjBzvrk/edit?usp=sharing"",""รวมกลาง!N236"")+IMPORTRANGE(""https://docs.google.com/spreadsheets/d/1uenpWDAH2bchvfvsSIjpd4bRU5D1faxJOaE3"&amp;"4GQM5-c/edit?usp=sharing"",""รวมใต้!N236"")"),1358074.4)</f>
        <v>1358074.4</v>
      </c>
      <c r="O236" s="41"/>
      <c r="P236" s="41"/>
      <c r="Q236" s="42">
        <f ca="1">IFERROR(__xludf.DUMMYFUNCTION("IMPORTRANGE(""https://docs.google.com/spreadsheets/d/12pGRKgvn2b31Uz_fjAl3XPzZUM_F2_O-zAHL2XHEPZg/edit?usp=sharing"",""รวมเหนือ!Q236"")+IMPORTRANGE(""https://docs.google.com/spreadsheets/d/1c0UfJUA6nE6esVMy0kRcX_PENtt96DMxicQpqi3tips/edit?usp=sharing"","""&amp;"รวมตะวันออกเฉียงเหนือ!Q236"")+IMPORTRANGE(""https://docs.google.com/spreadsheets/d/1iNWbYmj0agxPDl_yJgGu1eIremFPVMUuMWUKAjBzvrk/edit?usp=sharing"",""รวมกลาง!Q236"")+IMPORTRANGE(""https://docs.google.com/spreadsheets/d/1uenpWDAH2bchvfvsSIjpd4bRU5D1faxJOaE3"&amp;"4GQM5-c/edit?usp=sharing"",""รวมใต้!Q236"")"),0)</f>
        <v>0</v>
      </c>
      <c r="R236" s="42">
        <f ca="1">IFERROR(__xludf.DUMMYFUNCTION("IMPORTRANGE(""https://docs.google.com/spreadsheets/d/12pGRKgvn2b31Uz_fjAl3XPzZUM_F2_O-zAHL2XHEPZg/edit?usp=sharing"",""รวมเหนือ!R236"")+IMPORTRANGE(""https://docs.google.com/spreadsheets/d/1c0UfJUA6nE6esVMy0kRcX_PENtt96DMxicQpqi3tips/edit?usp=sharing"","""&amp;"รวมตะวันออกเฉียงเหนือ!R236"")+IMPORTRANGE(""https://docs.google.com/spreadsheets/d/1iNWbYmj0agxPDl_yJgGu1eIremFPVMUuMWUKAjBzvrk/edit?usp=sharing"",""รวมกลาง!R236"")+IMPORTRANGE(""https://docs.google.com/spreadsheets/d/1uenpWDAH2bchvfvsSIjpd4bRU5D1faxJOaE3"&amp;"4GQM5-c/edit?usp=sharing"",""รวมใต้!R236"")"),0)</f>
        <v>0</v>
      </c>
      <c r="S236" s="42">
        <f ca="1">IFERROR(__xludf.DUMMYFUNCTION("IMPORTRANGE(""https://docs.google.com/spreadsheets/d/12pGRKgvn2b31Uz_fjAl3XPzZUM_F2_O-zAHL2XHEPZg/edit?usp=sharing"",""รวมเหนือ!S236"")+IMPORTRANGE(""https://docs.google.com/spreadsheets/d/1c0UfJUA6nE6esVMy0kRcX_PENtt96DMxicQpqi3tips/edit?usp=sharing"","""&amp;"รวมตะวันออกเฉียงเหนือ!S236"")+IMPORTRANGE(""https://docs.google.com/spreadsheets/d/1iNWbYmj0agxPDl_yJgGu1eIremFPVMUuMWUKAjBzvrk/edit?usp=sharing"",""รวมกลาง!S236"")+IMPORTRANGE(""https://docs.google.com/spreadsheets/d/1uenpWDAH2bchvfvsSIjpd4bRU5D1faxJOaE3"&amp;"4GQM5-c/edit?usp=sharing"",""รวมใต้!S236"")"),0)</f>
        <v>0</v>
      </c>
      <c r="T236" s="45"/>
      <c r="U236" s="45"/>
    </row>
    <row r="237" spans="1:21" ht="19.5" x14ac:dyDescent="0.3">
      <c r="A237" s="152"/>
      <c r="B237" s="153"/>
      <c r="C237" s="143" t="s">
        <v>18</v>
      </c>
      <c r="D237" s="154" t="s">
        <v>38</v>
      </c>
      <c r="E237" s="155"/>
      <c r="F237" s="155"/>
      <c r="G237" s="156"/>
      <c r="H237" s="157"/>
      <c r="I237" s="149"/>
      <c r="J237" s="40"/>
      <c r="K237" s="41"/>
      <c r="L237" s="41"/>
      <c r="M237" s="41"/>
      <c r="N237" s="41"/>
      <c r="O237" s="150"/>
      <c r="P237" s="150"/>
      <c r="Q237" s="41"/>
      <c r="R237" s="41"/>
      <c r="S237" s="41"/>
      <c r="T237" s="232"/>
      <c r="U237" s="232"/>
    </row>
    <row r="238" spans="1:21" ht="18.75" x14ac:dyDescent="0.25">
      <c r="A238" s="152"/>
      <c r="B238" s="153"/>
      <c r="C238" s="153"/>
      <c r="D238" s="163" t="s">
        <v>107</v>
      </c>
      <c r="E238" s="159"/>
      <c r="F238" s="159"/>
      <c r="G238" s="157"/>
      <c r="H238" s="164" t="s">
        <v>35</v>
      </c>
      <c r="I238" s="176">
        <f ca="1">IFERROR(__xludf.DUMMYFUNCTION("IMPORTRANGE(""https://docs.google.com/spreadsheets/d/12pGRKgvn2b31Uz_fjAl3XPzZUM_F2_O-zAHL2XHEPZg/edit?usp=sharing"",""รวมเหนือ!I238"")+IMPORTRANGE(""https://docs.google.com/spreadsheets/d/1c0UfJUA6nE6esVMy0kRcX_PENtt96DMxicQpqi3tips/edit?usp=sharing"","""&amp;"รวมตะวันออกเฉียงเหนือ!I238"")+IMPORTRANGE(""https://docs.google.com/spreadsheets/d/1iNWbYmj0agxPDl_yJgGu1eIremFPVMUuMWUKAjBzvrk/edit?usp=sharing"",""รวมกลาง!I238"")+IMPORTRANGE(""https://docs.google.com/spreadsheets/d/1uenpWDAH2bchvfvsSIjpd4bRU5D1faxJOaE3"&amp;"4GQM5-c/edit?usp=sharing"",""รวมใต้!I238"")"),1130)</f>
        <v>1130</v>
      </c>
      <c r="J238" s="176">
        <f ca="1">IFERROR(__xludf.DUMMYFUNCTION("IMPORTRANGE(""https://docs.google.com/spreadsheets/d/12pGRKgvn2b31Uz_fjAl3XPzZUM_F2_O-zAHL2XHEPZg/edit?usp=sharing"",""รวมเหนือ!J238"")+IMPORTRANGE(""https://docs.google.com/spreadsheets/d/1c0UfJUA6nE6esVMy0kRcX_PENtt96DMxicQpqi3tips/edit?usp=sharing"","""&amp;"รวมตะวันออกเฉียงเหนือ!J238"")+IMPORTRANGE(""https://docs.google.com/spreadsheets/d/1iNWbYmj0agxPDl_yJgGu1eIremFPVMUuMWUKAjBzvrk/edit?usp=sharing"",""รวมกลาง!J238"")+IMPORTRANGE(""https://docs.google.com/spreadsheets/d/1uenpWDAH2bchvfvsSIjpd4bRU5D1faxJOaE3"&amp;"4GQM5-c/edit?usp=sharing"",""รวมใต้!J238"")"),1145)</f>
        <v>1145</v>
      </c>
      <c r="K238" s="42">
        <f ca="1">IF(I238&gt;0,J238*100/I238,0)</f>
        <v>101.32743362831859</v>
      </c>
      <c r="L238" s="41"/>
      <c r="M238" s="41"/>
      <c r="N238" s="41"/>
      <c r="O238" s="41"/>
      <c r="P238" s="41"/>
      <c r="Q238" s="41"/>
      <c r="R238" s="41"/>
      <c r="S238" s="41"/>
      <c r="T238" s="45"/>
      <c r="U238" s="45"/>
    </row>
    <row r="239" spans="1:21" ht="18.75" x14ac:dyDescent="0.25">
      <c r="A239" s="152"/>
      <c r="B239" s="153"/>
      <c r="C239" s="153"/>
      <c r="D239" s="234" t="s">
        <v>43</v>
      </c>
      <c r="E239" s="159"/>
      <c r="F239" s="159"/>
      <c r="G239" s="157"/>
      <c r="H239" s="157"/>
      <c r="I239" s="40"/>
      <c r="J239" s="40"/>
      <c r="K239" s="41"/>
      <c r="L239" s="41"/>
      <c r="M239" s="41"/>
      <c r="N239" s="41"/>
      <c r="O239" s="150"/>
      <c r="P239" s="150"/>
      <c r="Q239" s="41"/>
      <c r="R239" s="41"/>
      <c r="S239" s="41"/>
      <c r="T239" s="232"/>
      <c r="U239" s="232"/>
    </row>
    <row r="240" spans="1:21" ht="18.75" x14ac:dyDescent="0.25">
      <c r="A240" s="152"/>
      <c r="B240" s="153"/>
      <c r="C240" s="153"/>
      <c r="D240" s="153"/>
      <c r="E240" s="158" t="s">
        <v>108</v>
      </c>
      <c r="F240" s="159"/>
      <c r="G240" s="157"/>
      <c r="H240" s="164" t="s">
        <v>35</v>
      </c>
      <c r="I240" s="176">
        <v>0</v>
      </c>
      <c r="J240" s="176">
        <f ca="1">IFERROR(__xludf.DUMMYFUNCTION("IMPORTRANGE(""https://docs.google.com/spreadsheets/d/12pGRKgvn2b31Uz_fjAl3XPzZUM_F2_O-zAHL2XHEPZg/edit?usp=sharing"",""รวมเหนือ!J240"")+IMPORTRANGE(""https://docs.google.com/spreadsheets/d/1c0UfJUA6nE6esVMy0kRcX_PENtt96DMxicQpqi3tips/edit?usp=sharing"","""&amp;"รวมตะวันออกเฉียงเหนือ!J240"")+IMPORTRANGE(""https://docs.google.com/spreadsheets/d/1iNWbYmj0agxPDl_yJgGu1eIremFPVMUuMWUKAjBzvrk/edit?usp=sharing"",""รวมกลาง!J240"")+IMPORTRANGE(""https://docs.google.com/spreadsheets/d/1uenpWDAH2bchvfvsSIjpd4bRU5D1faxJOaE3"&amp;"4GQM5-c/edit?usp=sharing"",""รวมใต้!J240"")"),1075)</f>
        <v>1075</v>
      </c>
      <c r="K240" s="42">
        <f t="shared" ref="K240:K241" si="171">IF(I240&gt;0,J240*100/I240,0)</f>
        <v>0</v>
      </c>
      <c r="L240" s="41"/>
      <c r="M240" s="41"/>
      <c r="N240" s="41"/>
      <c r="O240" s="41"/>
      <c r="P240" s="41"/>
      <c r="Q240" s="41"/>
      <c r="R240" s="41"/>
      <c r="S240" s="41"/>
      <c r="T240" s="45"/>
      <c r="U240" s="45"/>
    </row>
    <row r="241" spans="1:21" ht="18.75" x14ac:dyDescent="0.25">
      <c r="A241" s="152"/>
      <c r="B241" s="153"/>
      <c r="C241" s="153"/>
      <c r="D241" s="153"/>
      <c r="E241" s="158" t="s">
        <v>109</v>
      </c>
      <c r="F241" s="159"/>
      <c r="G241" s="157"/>
      <c r="H241" s="164" t="s">
        <v>61</v>
      </c>
      <c r="I241" s="176">
        <v>0</v>
      </c>
      <c r="J241" s="176">
        <f ca="1">IFERROR(__xludf.DUMMYFUNCTION("IMPORTRANGE(""https://docs.google.com/spreadsheets/d/12pGRKgvn2b31Uz_fjAl3XPzZUM_F2_O-zAHL2XHEPZg/edit?usp=sharing"",""รวมเหนือ!J241"")+IMPORTRANGE(""https://docs.google.com/spreadsheets/d/1c0UfJUA6nE6esVMy0kRcX_PENtt96DMxicQpqi3tips/edit?usp=sharing"","""&amp;"รวมตะวันออกเฉียงเหนือ!J241"")+IMPORTRANGE(""https://docs.google.com/spreadsheets/d/1iNWbYmj0agxPDl_yJgGu1eIremFPVMUuMWUKAjBzvrk/edit?usp=sharing"",""รวมกลาง!J241"")+IMPORTRANGE(""https://docs.google.com/spreadsheets/d/1uenpWDAH2bchvfvsSIjpd4bRU5D1faxJOaE3"&amp;"4GQM5-c/edit?usp=sharing"",""รวมใต้!J241"")"),26)</f>
        <v>26</v>
      </c>
      <c r="K241" s="42">
        <f t="shared" si="171"/>
        <v>0</v>
      </c>
      <c r="L241" s="41"/>
      <c r="M241" s="41"/>
      <c r="N241" s="41"/>
      <c r="O241" s="41"/>
      <c r="P241" s="41"/>
      <c r="Q241" s="41"/>
      <c r="R241" s="41"/>
      <c r="S241" s="41"/>
      <c r="T241" s="45"/>
      <c r="U241" s="45"/>
    </row>
    <row r="242" spans="1:21" ht="19.5" hidden="1" x14ac:dyDescent="0.3">
      <c r="A242" s="235"/>
      <c r="B242" s="236"/>
      <c r="C242" s="237" t="s">
        <v>110</v>
      </c>
      <c r="D242" s="238"/>
      <c r="E242" s="238"/>
      <c r="F242" s="238"/>
      <c r="G242" s="239"/>
      <c r="H242" s="240" t="s">
        <v>35</v>
      </c>
      <c r="I242" s="241"/>
      <c r="J242" s="241"/>
      <c r="K242" s="242"/>
      <c r="L242" s="242"/>
      <c r="M242" s="242"/>
      <c r="N242" s="242"/>
      <c r="O242" s="242"/>
      <c r="P242" s="242"/>
      <c r="Q242" s="242"/>
      <c r="R242" s="242"/>
      <c r="S242" s="242"/>
      <c r="T242" s="243"/>
      <c r="U242" s="243"/>
    </row>
    <row r="243" spans="1:21" ht="19.5" hidden="1" x14ac:dyDescent="0.3">
      <c r="A243" s="244"/>
      <c r="B243" s="238"/>
      <c r="C243" s="237" t="s">
        <v>18</v>
      </c>
      <c r="D243" s="245" t="s">
        <v>19</v>
      </c>
      <c r="E243" s="238"/>
      <c r="F243" s="238"/>
      <c r="G243" s="239"/>
      <c r="H243" s="246" t="s">
        <v>14</v>
      </c>
      <c r="I243" s="241"/>
      <c r="J243" s="241"/>
      <c r="K243" s="242"/>
      <c r="L243" s="242"/>
      <c r="M243" s="242"/>
      <c r="N243" s="242"/>
      <c r="O243" s="242"/>
      <c r="P243" s="242"/>
      <c r="Q243" s="242"/>
      <c r="R243" s="242"/>
      <c r="S243" s="242"/>
      <c r="T243" s="243"/>
      <c r="U243" s="243"/>
    </row>
    <row r="244" spans="1:21" ht="18.75" hidden="1" x14ac:dyDescent="0.25">
      <c r="A244" s="244"/>
      <c r="B244" s="236"/>
      <c r="C244" s="238"/>
      <c r="D244" s="247" t="s">
        <v>86</v>
      </c>
      <c r="E244" s="238"/>
      <c r="F244" s="238"/>
      <c r="G244" s="239"/>
      <c r="H244" s="248" t="s">
        <v>14</v>
      </c>
      <c r="I244" s="241"/>
      <c r="J244" s="241"/>
      <c r="K244" s="242"/>
      <c r="L244" s="242"/>
      <c r="M244" s="242"/>
      <c r="N244" s="242"/>
      <c r="O244" s="242"/>
      <c r="P244" s="242"/>
      <c r="Q244" s="242"/>
      <c r="R244" s="242"/>
      <c r="S244" s="242"/>
      <c r="T244" s="243"/>
      <c r="U244" s="243"/>
    </row>
    <row r="245" spans="1:21" ht="18.75" hidden="1" x14ac:dyDescent="0.25">
      <c r="A245" s="235"/>
      <c r="B245" s="236"/>
      <c r="C245" s="236"/>
      <c r="D245" s="247" t="s">
        <v>88</v>
      </c>
      <c r="E245" s="238"/>
      <c r="F245" s="238"/>
      <c r="G245" s="239"/>
      <c r="H245" s="248" t="s">
        <v>14</v>
      </c>
      <c r="I245" s="241"/>
      <c r="J245" s="241"/>
      <c r="K245" s="242"/>
      <c r="L245" s="242"/>
      <c r="M245" s="242"/>
      <c r="N245" s="242"/>
      <c r="O245" s="242"/>
      <c r="P245" s="242"/>
      <c r="Q245" s="242"/>
      <c r="R245" s="242"/>
      <c r="S245" s="242"/>
      <c r="T245" s="243"/>
      <c r="U245" s="243"/>
    </row>
    <row r="246" spans="1:21" ht="18.75" hidden="1" x14ac:dyDescent="0.25">
      <c r="A246" s="235"/>
      <c r="B246" s="236"/>
      <c r="C246" s="236"/>
      <c r="D246" s="247" t="s">
        <v>111</v>
      </c>
      <c r="E246" s="238"/>
      <c r="F246" s="238"/>
      <c r="G246" s="239"/>
      <c r="H246" s="248" t="s">
        <v>14</v>
      </c>
      <c r="I246" s="241"/>
      <c r="J246" s="241"/>
      <c r="K246" s="242"/>
      <c r="L246" s="242"/>
      <c r="M246" s="242"/>
      <c r="N246" s="242"/>
      <c r="O246" s="242"/>
      <c r="P246" s="242"/>
      <c r="Q246" s="242"/>
      <c r="R246" s="242"/>
      <c r="S246" s="242"/>
      <c r="T246" s="243"/>
      <c r="U246" s="243"/>
    </row>
    <row r="247" spans="1:21" ht="18.75" hidden="1" x14ac:dyDescent="0.25">
      <c r="A247" s="235"/>
      <c r="B247" s="236"/>
      <c r="C247" s="236"/>
      <c r="D247" s="247" t="s">
        <v>112</v>
      </c>
      <c r="E247" s="238"/>
      <c r="F247" s="238"/>
      <c r="G247" s="239"/>
      <c r="H247" s="248" t="s">
        <v>14</v>
      </c>
      <c r="I247" s="241"/>
      <c r="J247" s="241"/>
      <c r="K247" s="242"/>
      <c r="L247" s="242"/>
      <c r="M247" s="242"/>
      <c r="N247" s="242"/>
      <c r="O247" s="242"/>
      <c r="P247" s="242"/>
      <c r="Q247" s="242"/>
      <c r="R247" s="242"/>
      <c r="S247" s="242"/>
      <c r="T247" s="243"/>
      <c r="U247" s="243"/>
    </row>
    <row r="248" spans="1:21" ht="19.5" hidden="1" x14ac:dyDescent="0.3">
      <c r="A248" s="235"/>
      <c r="B248" s="236"/>
      <c r="C248" s="249" t="s">
        <v>18</v>
      </c>
      <c r="D248" s="250" t="s">
        <v>38</v>
      </c>
      <c r="E248" s="238"/>
      <c r="F248" s="238"/>
      <c r="G248" s="239"/>
      <c r="H248" s="239"/>
      <c r="I248" s="241"/>
      <c r="J248" s="241"/>
      <c r="K248" s="242"/>
      <c r="L248" s="242"/>
      <c r="M248" s="242"/>
      <c r="N248" s="242"/>
      <c r="O248" s="242"/>
      <c r="P248" s="242"/>
      <c r="Q248" s="242"/>
      <c r="R248" s="242"/>
      <c r="S248" s="242"/>
      <c r="T248" s="243"/>
      <c r="U248" s="243"/>
    </row>
    <row r="249" spans="1:21" ht="18.75" hidden="1" x14ac:dyDescent="0.25">
      <c r="A249" s="235"/>
      <c r="B249" s="236"/>
      <c r="C249" s="236"/>
      <c r="D249" s="247" t="s">
        <v>107</v>
      </c>
      <c r="E249" s="238"/>
      <c r="F249" s="238"/>
      <c r="G249" s="239"/>
      <c r="H249" s="251" t="s">
        <v>35</v>
      </c>
      <c r="I249" s="241"/>
      <c r="J249" s="241"/>
      <c r="K249" s="242"/>
      <c r="L249" s="242"/>
      <c r="M249" s="242"/>
      <c r="N249" s="242"/>
      <c r="O249" s="242"/>
      <c r="P249" s="242"/>
      <c r="Q249" s="242"/>
      <c r="R249" s="242"/>
      <c r="S249" s="242"/>
      <c r="T249" s="243"/>
      <c r="U249" s="243"/>
    </row>
    <row r="250" spans="1:21" ht="18.75" hidden="1" x14ac:dyDescent="0.25">
      <c r="A250" s="235"/>
      <c r="B250" s="236"/>
      <c r="C250" s="236"/>
      <c r="D250" s="252" t="s">
        <v>43</v>
      </c>
      <c r="E250" s="238"/>
      <c r="F250" s="238"/>
      <c r="G250" s="239"/>
      <c r="H250" s="239"/>
      <c r="I250" s="241"/>
      <c r="J250" s="241"/>
      <c r="K250" s="242"/>
      <c r="L250" s="242"/>
      <c r="M250" s="242"/>
      <c r="N250" s="242"/>
      <c r="O250" s="242"/>
      <c r="P250" s="242"/>
      <c r="Q250" s="242"/>
      <c r="R250" s="242"/>
      <c r="S250" s="242"/>
      <c r="T250" s="243"/>
      <c r="U250" s="243"/>
    </row>
    <row r="251" spans="1:21" ht="18.75" hidden="1" x14ac:dyDescent="0.25">
      <c r="A251" s="235"/>
      <c r="B251" s="236"/>
      <c r="C251" s="236"/>
      <c r="D251" s="236"/>
      <c r="E251" s="253" t="s">
        <v>108</v>
      </c>
      <c r="F251" s="238"/>
      <c r="G251" s="239"/>
      <c r="H251" s="251" t="s">
        <v>35</v>
      </c>
      <c r="I251" s="241"/>
      <c r="J251" s="241"/>
      <c r="K251" s="242"/>
      <c r="L251" s="242"/>
      <c r="M251" s="242"/>
      <c r="N251" s="242"/>
      <c r="O251" s="242"/>
      <c r="P251" s="242"/>
      <c r="Q251" s="242"/>
      <c r="R251" s="242"/>
      <c r="S251" s="242"/>
      <c r="T251" s="243"/>
      <c r="U251" s="243"/>
    </row>
    <row r="252" spans="1:21" ht="18.75" hidden="1" x14ac:dyDescent="0.25">
      <c r="A252" s="235"/>
      <c r="B252" s="236"/>
      <c r="C252" s="236"/>
      <c r="D252" s="236"/>
      <c r="E252" s="253" t="s">
        <v>109</v>
      </c>
      <c r="F252" s="238"/>
      <c r="G252" s="239"/>
      <c r="H252" s="251" t="s">
        <v>61</v>
      </c>
      <c r="I252" s="241"/>
      <c r="J252" s="241"/>
      <c r="K252" s="242"/>
      <c r="L252" s="242"/>
      <c r="M252" s="242"/>
      <c r="N252" s="242"/>
      <c r="O252" s="242"/>
      <c r="P252" s="242"/>
      <c r="Q252" s="242"/>
      <c r="R252" s="242"/>
      <c r="S252" s="242"/>
      <c r="T252" s="243"/>
      <c r="U252" s="243"/>
    </row>
    <row r="253" spans="1:21" ht="19.5" hidden="1" x14ac:dyDescent="0.3">
      <c r="A253" s="235"/>
      <c r="B253" s="236"/>
      <c r="C253" s="237" t="s">
        <v>113</v>
      </c>
      <c r="D253" s="238"/>
      <c r="E253" s="238"/>
      <c r="F253" s="238"/>
      <c r="G253" s="239"/>
      <c r="H253" s="240" t="s">
        <v>35</v>
      </c>
      <c r="I253" s="241"/>
      <c r="J253" s="241"/>
      <c r="K253" s="242"/>
      <c r="L253" s="242"/>
      <c r="M253" s="242"/>
      <c r="N253" s="242"/>
      <c r="O253" s="242"/>
      <c r="P253" s="242"/>
      <c r="Q253" s="242"/>
      <c r="R253" s="242"/>
      <c r="S253" s="242"/>
      <c r="T253" s="243"/>
      <c r="U253" s="243"/>
    </row>
    <row r="254" spans="1:21" ht="19.5" hidden="1" x14ac:dyDescent="0.3">
      <c r="A254" s="244"/>
      <c r="B254" s="238"/>
      <c r="C254" s="237" t="s">
        <v>18</v>
      </c>
      <c r="D254" s="250" t="s">
        <v>19</v>
      </c>
      <c r="E254" s="238"/>
      <c r="F254" s="238"/>
      <c r="G254" s="239"/>
      <c r="H254" s="246" t="s">
        <v>14</v>
      </c>
      <c r="I254" s="241"/>
      <c r="J254" s="241"/>
      <c r="K254" s="242"/>
      <c r="L254" s="242"/>
      <c r="M254" s="242"/>
      <c r="N254" s="242"/>
      <c r="O254" s="242"/>
      <c r="P254" s="242"/>
      <c r="Q254" s="242"/>
      <c r="R254" s="242"/>
      <c r="S254" s="242"/>
      <c r="T254" s="243"/>
      <c r="U254" s="243"/>
    </row>
    <row r="255" spans="1:21" ht="18.75" hidden="1" x14ac:dyDescent="0.25">
      <c r="A255" s="244"/>
      <c r="B255" s="236"/>
      <c r="C255" s="238"/>
      <c r="D255" s="247" t="s">
        <v>86</v>
      </c>
      <c r="E255" s="238"/>
      <c r="F255" s="238"/>
      <c r="G255" s="239"/>
      <c r="H255" s="248" t="s">
        <v>14</v>
      </c>
      <c r="I255" s="241"/>
      <c r="J255" s="241"/>
      <c r="K255" s="242"/>
      <c r="L255" s="242"/>
      <c r="M255" s="242"/>
      <c r="N255" s="242"/>
      <c r="O255" s="242"/>
      <c r="P255" s="242"/>
      <c r="Q255" s="242"/>
      <c r="R255" s="242"/>
      <c r="S255" s="242"/>
      <c r="T255" s="243"/>
      <c r="U255" s="243"/>
    </row>
    <row r="256" spans="1:21" ht="18.75" hidden="1" x14ac:dyDescent="0.25">
      <c r="A256" s="235"/>
      <c r="B256" s="236"/>
      <c r="C256" s="236"/>
      <c r="D256" s="247" t="s">
        <v>88</v>
      </c>
      <c r="E256" s="238"/>
      <c r="F256" s="238"/>
      <c r="G256" s="239"/>
      <c r="H256" s="248" t="s">
        <v>14</v>
      </c>
      <c r="I256" s="241"/>
      <c r="J256" s="241"/>
      <c r="K256" s="242"/>
      <c r="L256" s="242"/>
      <c r="M256" s="242"/>
      <c r="N256" s="242"/>
      <c r="O256" s="242"/>
      <c r="P256" s="242"/>
      <c r="Q256" s="242"/>
      <c r="R256" s="242"/>
      <c r="S256" s="242"/>
      <c r="T256" s="243"/>
      <c r="U256" s="243"/>
    </row>
    <row r="257" spans="1:21" ht="18.75" hidden="1" x14ac:dyDescent="0.25">
      <c r="A257" s="235"/>
      <c r="B257" s="236"/>
      <c r="C257" s="236"/>
      <c r="D257" s="247" t="s">
        <v>111</v>
      </c>
      <c r="E257" s="238"/>
      <c r="F257" s="238"/>
      <c r="G257" s="239"/>
      <c r="H257" s="248" t="s">
        <v>14</v>
      </c>
      <c r="I257" s="241"/>
      <c r="J257" s="241"/>
      <c r="K257" s="242"/>
      <c r="L257" s="242"/>
      <c r="M257" s="242"/>
      <c r="N257" s="242"/>
      <c r="O257" s="242"/>
      <c r="P257" s="242"/>
      <c r="Q257" s="242"/>
      <c r="R257" s="242"/>
      <c r="S257" s="242"/>
      <c r="T257" s="243"/>
      <c r="U257" s="243"/>
    </row>
    <row r="258" spans="1:21" ht="18.75" hidden="1" x14ac:dyDescent="0.25">
      <c r="A258" s="235"/>
      <c r="B258" s="236"/>
      <c r="C258" s="236"/>
      <c r="D258" s="247" t="s">
        <v>112</v>
      </c>
      <c r="E258" s="238"/>
      <c r="F258" s="238"/>
      <c r="G258" s="239"/>
      <c r="H258" s="248" t="s">
        <v>14</v>
      </c>
      <c r="I258" s="241"/>
      <c r="J258" s="241"/>
      <c r="K258" s="242"/>
      <c r="L258" s="242"/>
      <c r="M258" s="242"/>
      <c r="N258" s="242"/>
      <c r="O258" s="242"/>
      <c r="P258" s="242"/>
      <c r="Q258" s="242"/>
      <c r="R258" s="242"/>
      <c r="S258" s="242"/>
      <c r="T258" s="243"/>
      <c r="U258" s="243"/>
    </row>
    <row r="259" spans="1:21" ht="19.5" hidden="1" x14ac:dyDescent="0.3">
      <c r="A259" s="235"/>
      <c r="B259" s="236"/>
      <c r="C259" s="249" t="s">
        <v>18</v>
      </c>
      <c r="D259" s="250" t="s">
        <v>38</v>
      </c>
      <c r="E259" s="238"/>
      <c r="F259" s="238"/>
      <c r="G259" s="239"/>
      <c r="H259" s="239"/>
      <c r="I259" s="241"/>
      <c r="J259" s="241"/>
      <c r="K259" s="242"/>
      <c r="L259" s="242"/>
      <c r="M259" s="242"/>
      <c r="N259" s="242"/>
      <c r="O259" s="242"/>
      <c r="P259" s="242"/>
      <c r="Q259" s="242"/>
      <c r="R259" s="242"/>
      <c r="S259" s="242"/>
      <c r="T259" s="243"/>
      <c r="U259" s="243"/>
    </row>
    <row r="260" spans="1:21" ht="18.75" hidden="1" x14ac:dyDescent="0.25">
      <c r="A260" s="235"/>
      <c r="B260" s="236"/>
      <c r="C260" s="236"/>
      <c r="D260" s="247" t="s">
        <v>107</v>
      </c>
      <c r="E260" s="238"/>
      <c r="F260" s="238"/>
      <c r="G260" s="239"/>
      <c r="H260" s="251" t="s">
        <v>35</v>
      </c>
      <c r="I260" s="241"/>
      <c r="J260" s="241"/>
      <c r="K260" s="242"/>
      <c r="L260" s="242"/>
      <c r="M260" s="242"/>
      <c r="N260" s="242"/>
      <c r="O260" s="242"/>
      <c r="P260" s="242"/>
      <c r="Q260" s="242"/>
      <c r="R260" s="242"/>
      <c r="S260" s="242"/>
      <c r="T260" s="243"/>
      <c r="U260" s="243"/>
    </row>
    <row r="261" spans="1:21" ht="18.75" hidden="1" x14ac:dyDescent="0.25">
      <c r="A261" s="235"/>
      <c r="B261" s="236"/>
      <c r="C261" s="236"/>
      <c r="D261" s="252" t="s">
        <v>43</v>
      </c>
      <c r="E261" s="238"/>
      <c r="F261" s="238"/>
      <c r="G261" s="239"/>
      <c r="H261" s="239"/>
      <c r="I261" s="241"/>
      <c r="J261" s="241"/>
      <c r="K261" s="242"/>
      <c r="L261" s="242"/>
      <c r="M261" s="242"/>
      <c r="N261" s="242"/>
      <c r="O261" s="242"/>
      <c r="P261" s="242"/>
      <c r="Q261" s="242"/>
      <c r="R261" s="242"/>
      <c r="S261" s="242"/>
      <c r="T261" s="243"/>
      <c r="U261" s="243"/>
    </row>
    <row r="262" spans="1:21" ht="18.75" hidden="1" x14ac:dyDescent="0.25">
      <c r="A262" s="235"/>
      <c r="B262" s="236"/>
      <c r="C262" s="236"/>
      <c r="D262" s="236"/>
      <c r="E262" s="253" t="s">
        <v>108</v>
      </c>
      <c r="F262" s="238"/>
      <c r="G262" s="239"/>
      <c r="H262" s="251" t="s">
        <v>35</v>
      </c>
      <c r="I262" s="241"/>
      <c r="J262" s="241"/>
      <c r="K262" s="242"/>
      <c r="L262" s="242"/>
      <c r="M262" s="242"/>
      <c r="N262" s="242"/>
      <c r="O262" s="242"/>
      <c r="P262" s="242"/>
      <c r="Q262" s="242"/>
      <c r="R262" s="242"/>
      <c r="S262" s="242"/>
      <c r="T262" s="243"/>
      <c r="U262" s="243"/>
    </row>
    <row r="263" spans="1:21" ht="18.75" hidden="1" x14ac:dyDescent="0.25">
      <c r="A263" s="235"/>
      <c r="B263" s="236"/>
      <c r="C263" s="236"/>
      <c r="D263" s="236"/>
      <c r="E263" s="253" t="s">
        <v>109</v>
      </c>
      <c r="F263" s="238"/>
      <c r="G263" s="239"/>
      <c r="H263" s="251" t="s">
        <v>61</v>
      </c>
      <c r="I263" s="241"/>
      <c r="J263" s="241"/>
      <c r="K263" s="242"/>
      <c r="L263" s="242"/>
      <c r="M263" s="242"/>
      <c r="N263" s="242"/>
      <c r="O263" s="242"/>
      <c r="P263" s="242"/>
      <c r="Q263" s="242"/>
      <c r="R263" s="242"/>
      <c r="S263" s="242"/>
      <c r="T263" s="243"/>
      <c r="U263" s="243"/>
    </row>
    <row r="264" spans="1:21" ht="19.5" x14ac:dyDescent="0.3">
      <c r="A264" s="200" t="s">
        <v>114</v>
      </c>
      <c r="B264" s="201"/>
      <c r="C264" s="201"/>
      <c r="D264" s="202"/>
      <c r="E264" s="202"/>
      <c r="F264" s="202"/>
      <c r="G264" s="203"/>
      <c r="H264" s="203"/>
      <c r="I264" s="204"/>
      <c r="J264" s="204"/>
      <c r="K264" s="205"/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</row>
    <row r="265" spans="1:21" ht="19.5" x14ac:dyDescent="0.3">
      <c r="A265" s="206"/>
      <c r="B265" s="207" t="s">
        <v>115</v>
      </c>
      <c r="C265" s="208"/>
      <c r="D265" s="155"/>
      <c r="E265" s="155"/>
      <c r="F265" s="155"/>
      <c r="G265" s="156"/>
      <c r="H265" s="209" t="s">
        <v>35</v>
      </c>
      <c r="I265" s="210">
        <f ca="1">IFERROR(__xludf.DUMMYFUNCTION("IMPORTRANGE(""https://docs.google.com/spreadsheets/d/12pGRKgvn2b31Uz_fjAl3XPzZUM_F2_O-zAHL2XHEPZg/edit?usp=sharing"",""รวมเหนือ!I265"")+IMPORTRANGE(""https://docs.google.com/spreadsheets/d/1c0UfJUA6nE6esVMy0kRcX_PENtt96DMxicQpqi3tips/edit?usp=sharing"","""&amp;"รวมตะวันออกเฉียงเหนือ!I265"")+IMPORTRANGE(""https://docs.google.com/spreadsheets/d/1iNWbYmj0agxPDl_yJgGu1eIremFPVMUuMWUKAjBzvrk/edit?usp=sharing"",""รวมกลาง!I265"")+IMPORTRANGE(""https://docs.google.com/spreadsheets/d/1uenpWDAH2bchvfvsSIjpd4bRU5D1faxJOaE3"&amp;"4GQM5-c/edit?usp=sharing"",""รวมใต้!I265"")"),1600)</f>
        <v>1600</v>
      </c>
      <c r="J265" s="210">
        <f ca="1">IFERROR(__xludf.DUMMYFUNCTION("IMPORTRANGE(""https://docs.google.com/spreadsheets/d/12pGRKgvn2b31Uz_fjAl3XPzZUM_F2_O-zAHL2XHEPZg/edit?usp=sharing"",""รวมเหนือ!J265"")+IMPORTRANGE(""https://docs.google.com/spreadsheets/d/1c0UfJUA6nE6esVMy0kRcX_PENtt96DMxicQpqi3tips/edit?usp=sharing"","""&amp;"รวมตะวันออกเฉียงเหนือ!J265"")+IMPORTRANGE(""https://docs.google.com/spreadsheets/d/1iNWbYmj0agxPDl_yJgGu1eIremFPVMUuMWUKAjBzvrk/edit?usp=sharing"",""รวมกลาง!J265"")+IMPORTRANGE(""https://docs.google.com/spreadsheets/d/1uenpWDAH2bchvfvsSIjpd4bRU5D1faxJOaE3"&amp;"4GQM5-c/edit?usp=sharing"",""รวมใต้!J265"")"),1599)</f>
        <v>1599</v>
      </c>
      <c r="K265" s="211">
        <f ca="1">IF(I265&gt;0,J265*100/I265,0)</f>
        <v>99.9375</v>
      </c>
      <c r="L265" s="212"/>
      <c r="M265" s="212"/>
      <c r="N265" s="212"/>
      <c r="O265" s="212"/>
      <c r="P265" s="212"/>
      <c r="Q265" s="212"/>
      <c r="R265" s="212"/>
      <c r="S265" s="212"/>
      <c r="T265" s="212"/>
      <c r="U265" s="212"/>
    </row>
    <row r="266" spans="1:21" ht="19.5" x14ac:dyDescent="0.3">
      <c r="A266" s="142"/>
      <c r="B266" s="36"/>
      <c r="C266" s="143" t="s">
        <v>18</v>
      </c>
      <c r="D266" s="144" t="s">
        <v>19</v>
      </c>
      <c r="E266" s="36"/>
      <c r="F266" s="36"/>
      <c r="G266" s="38"/>
      <c r="H266" s="145" t="s">
        <v>14</v>
      </c>
      <c r="I266" s="40"/>
      <c r="J266" s="40"/>
      <c r="K266" s="41"/>
      <c r="L266" s="146">
        <f t="shared" ref="L266:N266" ca="1" si="172">L267+L268</f>
        <v>4016300</v>
      </c>
      <c r="M266" s="146">
        <f t="shared" ca="1" si="172"/>
        <v>4016300</v>
      </c>
      <c r="N266" s="146">
        <f t="shared" ca="1" si="172"/>
        <v>4008935.69</v>
      </c>
      <c r="O266" s="146">
        <f t="shared" ref="O266:O274" ca="1" si="173">IF(L266&gt;0,N266*100/L266,0)</f>
        <v>99.816639444264624</v>
      </c>
      <c r="P266" s="146">
        <f t="shared" ref="P266:P274" ca="1" si="174">IF(M266&gt;0,N266*100/M266,0)</f>
        <v>99.816639444264624</v>
      </c>
      <c r="Q266" s="146">
        <f t="shared" ref="Q266:S266" ca="1" si="175">Q267+Q268</f>
        <v>3669760</v>
      </c>
      <c r="R266" s="146">
        <f t="shared" ca="1" si="175"/>
        <v>3669760</v>
      </c>
      <c r="S266" s="146">
        <f t="shared" ca="1" si="175"/>
        <v>3413232.9</v>
      </c>
      <c r="T266" s="146">
        <f t="shared" ref="T266:T274" ca="1" si="176">IF(Q266&gt;0,S266*100/Q266,0)</f>
        <v>93.009703631845127</v>
      </c>
      <c r="U266" s="146">
        <f t="shared" ref="U266:U274" ca="1" si="177">IF(R266&gt;0,S266*100/R266,0)</f>
        <v>93.009703631845127</v>
      </c>
    </row>
    <row r="267" spans="1:21" ht="18.75" x14ac:dyDescent="0.25">
      <c r="A267" s="142"/>
      <c r="B267" s="36"/>
      <c r="C267" s="36"/>
      <c r="D267" s="36"/>
      <c r="E267" s="43" t="s">
        <v>20</v>
      </c>
      <c r="F267" s="36"/>
      <c r="G267" s="38"/>
      <c r="H267" s="147" t="s">
        <v>14</v>
      </c>
      <c r="I267" s="40"/>
      <c r="J267" s="40"/>
      <c r="K267" s="41"/>
      <c r="L267" s="42">
        <f t="shared" ref="L267:N267" ca="1" si="178">L270+L273</f>
        <v>3656300</v>
      </c>
      <c r="M267" s="42">
        <f t="shared" ca="1" si="178"/>
        <v>2660629</v>
      </c>
      <c r="N267" s="42">
        <f t="shared" ca="1" si="178"/>
        <v>2653264.69</v>
      </c>
      <c r="O267" s="42">
        <f t="shared" ca="1" si="173"/>
        <v>72.566930777015017</v>
      </c>
      <c r="P267" s="42">
        <f t="shared" ca="1" si="174"/>
        <v>99.723211691671409</v>
      </c>
      <c r="Q267" s="42">
        <f t="shared" ref="Q267:S267" ca="1" si="179">Q270+Q273</f>
        <v>0</v>
      </c>
      <c r="R267" s="42">
        <f t="shared" ca="1" si="179"/>
        <v>0</v>
      </c>
      <c r="S267" s="42">
        <f t="shared" ca="1" si="179"/>
        <v>0</v>
      </c>
      <c r="T267" s="42">
        <f t="shared" ca="1" si="176"/>
        <v>0</v>
      </c>
      <c r="U267" s="42">
        <f t="shared" ca="1" si="177"/>
        <v>0</v>
      </c>
    </row>
    <row r="268" spans="1:21" ht="18.75" x14ac:dyDescent="0.25">
      <c r="A268" s="142"/>
      <c r="B268" s="36"/>
      <c r="C268" s="36"/>
      <c r="D268" s="36"/>
      <c r="E268" s="43" t="s">
        <v>21</v>
      </c>
      <c r="F268" s="36"/>
      <c r="G268" s="38"/>
      <c r="H268" s="147" t="s">
        <v>14</v>
      </c>
      <c r="I268" s="40"/>
      <c r="J268" s="40"/>
      <c r="K268" s="41"/>
      <c r="L268" s="42">
        <f t="shared" ref="L268:N268" ca="1" si="180">L271+L274</f>
        <v>360000</v>
      </c>
      <c r="M268" s="42">
        <f t="shared" ca="1" si="180"/>
        <v>1355671</v>
      </c>
      <c r="N268" s="42">
        <f t="shared" ca="1" si="180"/>
        <v>1355671</v>
      </c>
      <c r="O268" s="42">
        <f t="shared" ca="1" si="173"/>
        <v>376.57527777777779</v>
      </c>
      <c r="P268" s="42">
        <f t="shared" ca="1" si="174"/>
        <v>100</v>
      </c>
      <c r="Q268" s="42">
        <f ca="1">IFERROR(__xludf.DUMMYFUNCTION("IMPORTRANGE(""https://docs.google.com/spreadsheets/d/12pGRKgvn2b31Uz_fjAl3XPzZUM_F2_O-zAHL2XHEPZg/edit?usp=sharing"",""รวมเหนือ!Q271"")+IMPORTRANGE(""https://docs.google.com/spreadsheets/d/1c0UfJUA6nE6esVMy0kRcX_PENtt96DMxicQpqi3tips/edit?usp=sharing"","""&amp;"รวมตะวันออกเฉียงเหนือ!Q271"")+IMPORTRANGE(""https://docs.google.com/spreadsheets/d/1iNWbYmj0agxPDl_yJgGu1eIremFPVMUuMWUKAjBzvrk/edit?usp=sharing"",""รวมกลาง!Q271"")+IMPORTRANGE(""https://docs.google.com/spreadsheets/d/1uenpWDAH2bchvfvsSIjpd4bRU5D1faxJOaE3"&amp;"4GQM5-c/edit?usp=sharing"",""รวมใต้!Q271"")"),3669760)</f>
        <v>3669760</v>
      </c>
      <c r="R268" s="42">
        <f ca="1">IFERROR(__xludf.DUMMYFUNCTION("IMPORTRANGE(""https://docs.google.com/spreadsheets/d/12pGRKgvn2b31Uz_fjAl3XPzZUM_F2_O-zAHL2XHEPZg/edit?usp=sharing"",""รวมเหนือ!R271"")+IMPORTRANGE(""https://docs.google.com/spreadsheets/d/1c0UfJUA6nE6esVMy0kRcX_PENtt96DMxicQpqi3tips/edit?usp=sharing"","""&amp;"รวมตะวันออกเฉียงเหนือ!R271"")+IMPORTRANGE(""https://docs.google.com/spreadsheets/d/1iNWbYmj0agxPDl_yJgGu1eIremFPVMUuMWUKAjBzvrk/edit?usp=sharing"",""รวมกลาง!R271"")+IMPORTRANGE(""https://docs.google.com/spreadsheets/d/1uenpWDAH2bchvfvsSIjpd4bRU5D1faxJOaE3"&amp;"4GQM5-c/edit?usp=sharing"",""รวมใต้!R271"")"),3669760)</f>
        <v>3669760</v>
      </c>
      <c r="S268" s="42">
        <f ca="1">IFERROR(__xludf.DUMMYFUNCTION("IMPORTRANGE(""https://docs.google.com/spreadsheets/d/12pGRKgvn2b31Uz_fjAl3XPzZUM_F2_O-zAHL2XHEPZg/edit?usp=sharing"",""รวมเหนือ!S271"")+IMPORTRANGE(""https://docs.google.com/spreadsheets/d/1c0UfJUA6nE6esVMy0kRcX_PENtt96DMxicQpqi3tips/edit?usp=sharing"","""&amp;"รวมตะวันออกเฉียงเหนือ!S271"")+IMPORTRANGE(""https://docs.google.com/spreadsheets/d/1iNWbYmj0agxPDl_yJgGu1eIremFPVMUuMWUKAjBzvrk/edit?usp=sharing"",""รวมกลาง!S271"")+IMPORTRANGE(""https://docs.google.com/spreadsheets/d/1uenpWDAH2bchvfvsSIjpd4bRU5D1faxJOaE3"&amp;"4GQM5-c/edit?usp=sharing"",""รวมใต้!S271"")"),3413232.9)</f>
        <v>3413232.9</v>
      </c>
      <c r="T268" s="42">
        <f t="shared" ca="1" si="176"/>
        <v>93.009703631845127</v>
      </c>
      <c r="U268" s="42">
        <f t="shared" ca="1" si="177"/>
        <v>93.009703631845127</v>
      </c>
    </row>
    <row r="269" spans="1:21" ht="18.75" x14ac:dyDescent="0.25">
      <c r="A269" s="142"/>
      <c r="B269" s="36"/>
      <c r="C269" s="36"/>
      <c r="D269" s="37" t="s">
        <v>22</v>
      </c>
      <c r="E269" s="36"/>
      <c r="F269" s="36"/>
      <c r="G269" s="38"/>
      <c r="H269" s="148" t="s">
        <v>14</v>
      </c>
      <c r="I269" s="149"/>
      <c r="J269" s="149"/>
      <c r="K269" s="150"/>
      <c r="L269" s="42">
        <f t="shared" ref="L269:N269" ca="1" si="181">L270+L271</f>
        <v>4016300</v>
      </c>
      <c r="M269" s="42">
        <f t="shared" ca="1" si="181"/>
        <v>4016300</v>
      </c>
      <c r="N269" s="42">
        <f t="shared" ca="1" si="181"/>
        <v>4008935.69</v>
      </c>
      <c r="O269" s="42">
        <f t="shared" ca="1" si="173"/>
        <v>99.816639444264624</v>
      </c>
      <c r="P269" s="42">
        <f t="shared" ca="1" si="174"/>
        <v>99.816639444264624</v>
      </c>
      <c r="Q269" s="42">
        <f t="shared" ref="Q269:S269" ca="1" si="182">Q270+Q271</f>
        <v>0</v>
      </c>
      <c r="R269" s="42">
        <f t="shared" ca="1" si="182"/>
        <v>0</v>
      </c>
      <c r="S269" s="42">
        <f t="shared" ca="1" si="182"/>
        <v>0</v>
      </c>
      <c r="T269" s="42">
        <f t="shared" ca="1" si="176"/>
        <v>0</v>
      </c>
      <c r="U269" s="42">
        <f t="shared" ca="1" si="177"/>
        <v>0</v>
      </c>
    </row>
    <row r="270" spans="1:21" ht="18.75" x14ac:dyDescent="0.25">
      <c r="A270" s="142"/>
      <c r="B270" s="36"/>
      <c r="C270" s="36"/>
      <c r="D270" s="36"/>
      <c r="E270" s="43" t="s">
        <v>36</v>
      </c>
      <c r="F270" s="36"/>
      <c r="G270" s="38"/>
      <c r="H270" s="148" t="s">
        <v>14</v>
      </c>
      <c r="I270" s="149"/>
      <c r="J270" s="149"/>
      <c r="K270" s="150"/>
      <c r="L270" s="42">
        <f ca="1">IFERROR(__xludf.DUMMYFUNCTION("IMPORTRANGE(""https://docs.google.com/spreadsheets/d/1-uDff_7J0KD5mKrp0Vvzr7lt3OU09vwQwhkpOPPYv2Y/edit?usp=sharing"",""งบพรบ!DE9"")"),3656300)</f>
        <v>3656300</v>
      </c>
      <c r="M270" s="42">
        <f ca="1">IFERROR(__xludf.DUMMYFUNCTION("IMPORTRANGE(""https://docs.google.com/spreadsheets/d/1-uDff_7J0KD5mKrp0Vvzr7lt3OU09vwQwhkpOPPYv2Y/edit?usp=sharing"",""งบพรบ!DJ9"")"),2660629)</f>
        <v>2660629</v>
      </c>
      <c r="N270" s="42">
        <f ca="1">IFERROR(__xludf.DUMMYFUNCTION("IMPORTRANGE(""https://docs.google.com/spreadsheets/d/1-uDff_7J0KD5mKrp0Vvzr7lt3OU09vwQwhkpOPPYv2Y/edit?usp=sharing"",""งบพรบ!DL9"")"),2653264.69)</f>
        <v>2653264.69</v>
      </c>
      <c r="O270" s="42">
        <f t="shared" ca="1" si="173"/>
        <v>72.566930777015017</v>
      </c>
      <c r="P270" s="42">
        <f t="shared" ca="1" si="174"/>
        <v>99.723211691671409</v>
      </c>
      <c r="Q270" s="42">
        <f ca="1">IFERROR(__xludf.DUMMYFUNCTION("IMPORTRANGE(""https://docs.google.com/spreadsheets/d/1ItG2mGa2ceCfYo0BwxsXqNm01IGEUdYcSSLTEv9YCik/edit?usp=sharing"",""เบิกจ่ายกองทุน!AP11"")"),0)</f>
        <v>0</v>
      </c>
      <c r="R270" s="42">
        <f ca="1">IFERROR(__xludf.DUMMYFUNCTION("IMPORTRANGE(""https://docs.google.com/spreadsheets/d/1ItG2mGa2ceCfYo0BwxsXqNm01IGEUdYcSSLTEv9YCik/edit?usp=sharing"",""เบิกจ่ายกองทุน!AQ11"")"),0)</f>
        <v>0</v>
      </c>
      <c r="S270" s="42">
        <f ca="1">IFERROR(__xludf.DUMMYFUNCTION("IMPORTRANGE(""https://docs.google.com/spreadsheets/d/1ItG2mGa2ceCfYo0BwxsXqNm01IGEUdYcSSLTEv9YCik/edit?usp=sharing"",""เบิกจ่ายกองทุน!AR11"")"),0)</f>
        <v>0</v>
      </c>
      <c r="T270" s="42">
        <f t="shared" ca="1" si="176"/>
        <v>0</v>
      </c>
      <c r="U270" s="42">
        <f t="shared" ca="1" si="177"/>
        <v>0</v>
      </c>
    </row>
    <row r="271" spans="1:21" ht="18.75" x14ac:dyDescent="0.25">
      <c r="A271" s="142"/>
      <c r="B271" s="36"/>
      <c r="C271" s="36"/>
      <c r="D271" s="36"/>
      <c r="E271" s="43" t="s">
        <v>37</v>
      </c>
      <c r="F271" s="36"/>
      <c r="G271" s="38"/>
      <c r="H271" s="148" t="s">
        <v>14</v>
      </c>
      <c r="I271" s="149"/>
      <c r="J271" s="149"/>
      <c r="K271" s="150"/>
      <c r="L271" s="42">
        <f ca="1">IFERROR(__xludf.DUMMYFUNCTION("IMPORTRANGE(""https://docs.google.com/spreadsheets/d/12pGRKgvn2b31Uz_fjAl3XPzZUM_F2_O-zAHL2XHEPZg/edit?usp=sharing"",""รวมเหนือ!L271"")+IMPORTRANGE(""https://docs.google.com/spreadsheets/d/1c0UfJUA6nE6esVMy0kRcX_PENtt96DMxicQpqi3tips/edit?usp=sharing"","""&amp;"รวมตะวันออกเฉียงเหนือ!L271"")+IMPORTRANGE(""https://docs.google.com/spreadsheets/d/1iNWbYmj0agxPDl_yJgGu1eIremFPVMUuMWUKAjBzvrk/edit?usp=sharing"",""รวมกลาง!L271"")+IMPORTRANGE(""https://docs.google.com/spreadsheets/d/1uenpWDAH2bchvfvsSIjpd4bRU5D1faxJOaE3"&amp;"4GQM5-c/edit?usp=sharing"",""รวมใต้!L271"")"),360000)</f>
        <v>360000</v>
      </c>
      <c r="M271" s="42">
        <f ca="1">IFERROR(__xludf.DUMMYFUNCTION("IMPORTRANGE(""https://docs.google.com/spreadsheets/d/12pGRKgvn2b31Uz_fjAl3XPzZUM_F2_O-zAHL2XHEPZg/edit?usp=sharing"",""รวมเหนือ!M271"")+IMPORTRANGE(""https://docs.google.com/spreadsheets/d/1c0UfJUA6nE6esVMy0kRcX_PENtt96DMxicQpqi3tips/edit?usp=sharing"","""&amp;"รวมตะวันออกเฉียงเหนือ!M271"")+IMPORTRANGE(""https://docs.google.com/spreadsheets/d/1iNWbYmj0agxPDl_yJgGu1eIremFPVMUuMWUKAjBzvrk/edit?usp=sharing"",""รวมกลาง!M271"")+IMPORTRANGE(""https://docs.google.com/spreadsheets/d/1uenpWDAH2bchvfvsSIjpd4bRU5D1faxJOaE3"&amp;"4GQM5-c/edit?usp=sharing"",""รวมใต้!M271"")"),1355671)</f>
        <v>1355671</v>
      </c>
      <c r="N271" s="42">
        <f ca="1">IFERROR(__xludf.DUMMYFUNCTION("IMPORTRANGE(""https://docs.google.com/spreadsheets/d/12pGRKgvn2b31Uz_fjAl3XPzZUM_F2_O-zAHL2XHEPZg/edit?usp=sharing"",""รวมเหนือ!N271"")+IMPORTRANGE(""https://docs.google.com/spreadsheets/d/1c0UfJUA6nE6esVMy0kRcX_PENtt96DMxicQpqi3tips/edit?usp=sharing"","""&amp;"รวมตะวันออกเฉียงเหนือ!N271"")+IMPORTRANGE(""https://docs.google.com/spreadsheets/d/1iNWbYmj0agxPDl_yJgGu1eIremFPVMUuMWUKAjBzvrk/edit?usp=sharing"",""รวมกลาง!N271"")+IMPORTRANGE(""https://docs.google.com/spreadsheets/d/1uenpWDAH2bchvfvsSIjpd4bRU5D1faxJOaE3"&amp;"4GQM5-c/edit?usp=sharing"",""รวมใต้!N271"")"),1355671)</f>
        <v>1355671</v>
      </c>
      <c r="O271" s="42">
        <f t="shared" ca="1" si="173"/>
        <v>376.57527777777779</v>
      </c>
      <c r="P271" s="42">
        <f t="shared" ca="1" si="174"/>
        <v>100</v>
      </c>
      <c r="Q271" s="42">
        <v>0</v>
      </c>
      <c r="R271" s="42">
        <v>0</v>
      </c>
      <c r="S271" s="42">
        <v>0</v>
      </c>
      <c r="T271" s="42">
        <f t="shared" si="176"/>
        <v>0</v>
      </c>
      <c r="U271" s="42">
        <f t="shared" si="177"/>
        <v>0</v>
      </c>
    </row>
    <row r="272" spans="1:21" ht="18.75" x14ac:dyDescent="0.25">
      <c r="A272" s="142"/>
      <c r="B272" s="36"/>
      <c r="C272" s="36"/>
      <c r="D272" s="37" t="s">
        <v>23</v>
      </c>
      <c r="E272" s="36"/>
      <c r="F272" s="36"/>
      <c r="G272" s="38"/>
      <c r="H272" s="151" t="s">
        <v>14</v>
      </c>
      <c r="I272" s="149"/>
      <c r="J272" s="149"/>
      <c r="K272" s="150"/>
      <c r="L272" s="42">
        <f t="shared" ref="L272:N272" ca="1" si="183">L273+L274</f>
        <v>0</v>
      </c>
      <c r="M272" s="42">
        <f t="shared" ca="1" si="183"/>
        <v>0</v>
      </c>
      <c r="N272" s="42">
        <f t="shared" ca="1" si="183"/>
        <v>0</v>
      </c>
      <c r="O272" s="42">
        <f t="shared" ca="1" si="173"/>
        <v>0</v>
      </c>
      <c r="P272" s="42">
        <f t="shared" ca="1" si="174"/>
        <v>0</v>
      </c>
      <c r="Q272" s="42">
        <f t="shared" ref="Q272:S272" ca="1" si="184">Q273+Q274</f>
        <v>0</v>
      </c>
      <c r="R272" s="42">
        <f t="shared" ca="1" si="184"/>
        <v>0</v>
      </c>
      <c r="S272" s="42">
        <f t="shared" ca="1" si="184"/>
        <v>0</v>
      </c>
      <c r="T272" s="42">
        <f t="shared" ca="1" si="176"/>
        <v>0</v>
      </c>
      <c r="U272" s="42">
        <f t="shared" ca="1" si="177"/>
        <v>0</v>
      </c>
    </row>
    <row r="273" spans="1:21" ht="18.75" x14ac:dyDescent="0.25">
      <c r="A273" s="142"/>
      <c r="B273" s="36"/>
      <c r="C273" s="36"/>
      <c r="D273" s="36"/>
      <c r="E273" s="43" t="s">
        <v>20</v>
      </c>
      <c r="F273" s="36"/>
      <c r="G273" s="38"/>
      <c r="H273" s="148" t="s">
        <v>14</v>
      </c>
      <c r="I273" s="149"/>
      <c r="J273" s="149"/>
      <c r="K273" s="150"/>
      <c r="L273" s="42">
        <f ca="1">IFERROR(__xludf.DUMMYFUNCTION("IMPORTRANGE(""https://docs.google.com/spreadsheets/d/12pGRKgvn2b31Uz_fjAl3XPzZUM_F2_O-zAHL2XHEPZg/edit?usp=sharing"",""รวมเหนือ!L273"")+IMPORTRANGE(""https://docs.google.com/spreadsheets/d/1c0UfJUA6nE6esVMy0kRcX_PENtt96DMxicQpqi3tips/edit?usp=sharing"","""&amp;"รวมตะวันออกเฉียงเหนือ!L273"")+IMPORTRANGE(""https://docs.google.com/spreadsheets/d/1iNWbYmj0agxPDl_yJgGu1eIremFPVMUuMWUKAjBzvrk/edit?usp=sharing"",""รวมกลาง!L273"")+IMPORTRANGE(""https://docs.google.com/spreadsheets/d/1uenpWDAH2bchvfvsSIjpd4bRU5D1faxJOaE3"&amp;"4GQM5-c/edit?usp=sharing"",""รวมใต้!L273"")"),0)</f>
        <v>0</v>
      </c>
      <c r="M273" s="42">
        <f ca="1">IFERROR(__xludf.DUMMYFUNCTION("IMPORTRANGE(""https://docs.google.com/spreadsheets/d/12pGRKgvn2b31Uz_fjAl3XPzZUM_F2_O-zAHL2XHEPZg/edit?usp=sharing"",""รวมเหนือ!M273"")+IMPORTRANGE(""https://docs.google.com/spreadsheets/d/1c0UfJUA6nE6esVMy0kRcX_PENtt96DMxicQpqi3tips/edit?usp=sharing"","""&amp;"รวมตะวันออกเฉียงเหนือ!M273"")+IMPORTRANGE(""https://docs.google.com/spreadsheets/d/1iNWbYmj0agxPDl_yJgGu1eIremFPVMUuMWUKAjBzvrk/edit?usp=sharing"",""รวมกลาง!M273"")+IMPORTRANGE(""https://docs.google.com/spreadsheets/d/1uenpWDAH2bchvfvsSIjpd4bRU5D1faxJOaE3"&amp;"4GQM5-c/edit?usp=sharing"",""รวมใต้!M273"")"),0)</f>
        <v>0</v>
      </c>
      <c r="N273" s="42">
        <f ca="1">IFERROR(__xludf.DUMMYFUNCTION("IMPORTRANGE(""https://docs.google.com/spreadsheets/d/12pGRKgvn2b31Uz_fjAl3XPzZUM_F2_O-zAHL2XHEPZg/edit?usp=sharing"",""รวมเหนือ!N273"")+IMPORTRANGE(""https://docs.google.com/spreadsheets/d/1c0UfJUA6nE6esVMy0kRcX_PENtt96DMxicQpqi3tips/edit?usp=sharing"","""&amp;"รวมตะวันออกเฉียงเหนือ!N273"")+IMPORTRANGE(""https://docs.google.com/spreadsheets/d/1iNWbYmj0agxPDl_yJgGu1eIremFPVMUuMWUKAjBzvrk/edit?usp=sharing"",""รวมกลาง!N273"")+IMPORTRANGE(""https://docs.google.com/spreadsheets/d/1uenpWDAH2bchvfvsSIjpd4bRU5D1faxJOaE3"&amp;"4GQM5-c/edit?usp=sharing"",""รวมใต้!N273"")"),0)</f>
        <v>0</v>
      </c>
      <c r="O273" s="42">
        <f t="shared" ca="1" si="173"/>
        <v>0</v>
      </c>
      <c r="P273" s="42">
        <f t="shared" ca="1" si="174"/>
        <v>0</v>
      </c>
      <c r="Q273" s="42">
        <v>0</v>
      </c>
      <c r="R273" s="42">
        <v>0</v>
      </c>
      <c r="S273" s="42">
        <v>0</v>
      </c>
      <c r="T273" s="42">
        <f t="shared" si="176"/>
        <v>0</v>
      </c>
      <c r="U273" s="42">
        <f t="shared" si="177"/>
        <v>0</v>
      </c>
    </row>
    <row r="274" spans="1:21" ht="18.75" x14ac:dyDescent="0.25">
      <c r="A274" s="142"/>
      <c r="B274" s="36"/>
      <c r="C274" s="36"/>
      <c r="D274" s="36"/>
      <c r="E274" s="43" t="s">
        <v>21</v>
      </c>
      <c r="F274" s="36"/>
      <c r="G274" s="38"/>
      <c r="H274" s="151" t="s">
        <v>14</v>
      </c>
      <c r="I274" s="149"/>
      <c r="J274" s="149"/>
      <c r="K274" s="150"/>
      <c r="L274" s="42">
        <f ca="1">IFERROR(__xludf.DUMMYFUNCTION("IMPORTRANGE(""https://docs.google.com/spreadsheets/d/12pGRKgvn2b31Uz_fjAl3XPzZUM_F2_O-zAHL2XHEPZg/edit?usp=sharing"",""รวมเหนือ!L274"")+IMPORTRANGE(""https://docs.google.com/spreadsheets/d/1c0UfJUA6nE6esVMy0kRcX_PENtt96DMxicQpqi3tips/edit?usp=sharing"","""&amp;"รวมตะวันออกเฉียงเหนือ!L274"")+IMPORTRANGE(""https://docs.google.com/spreadsheets/d/1iNWbYmj0agxPDl_yJgGu1eIremFPVMUuMWUKAjBzvrk/edit?usp=sharing"",""รวมกลาง!L274"")+IMPORTRANGE(""https://docs.google.com/spreadsheets/d/1uenpWDAH2bchvfvsSIjpd4bRU5D1faxJOaE3"&amp;"4GQM5-c/edit?usp=sharing"",""รวมใต้!L274"")"),0)</f>
        <v>0</v>
      </c>
      <c r="M274" s="42">
        <f ca="1">IFERROR(__xludf.DUMMYFUNCTION("IMPORTRANGE(""https://docs.google.com/spreadsheets/d/12pGRKgvn2b31Uz_fjAl3XPzZUM_F2_O-zAHL2XHEPZg/edit?usp=sharing"",""รวมเหนือ!M274"")+IMPORTRANGE(""https://docs.google.com/spreadsheets/d/1c0UfJUA6nE6esVMy0kRcX_PENtt96DMxicQpqi3tips/edit?usp=sharing"","""&amp;"รวมตะวันออกเฉียงเหนือ!M274"")+IMPORTRANGE(""https://docs.google.com/spreadsheets/d/1iNWbYmj0agxPDl_yJgGu1eIremFPVMUuMWUKAjBzvrk/edit?usp=sharing"",""รวมกลาง!M274"")+IMPORTRANGE(""https://docs.google.com/spreadsheets/d/1uenpWDAH2bchvfvsSIjpd4bRU5D1faxJOaE3"&amp;"4GQM5-c/edit?usp=sharing"",""รวมใต้!M274"")"),0)</f>
        <v>0</v>
      </c>
      <c r="N274" s="42">
        <f ca="1">IFERROR(__xludf.DUMMYFUNCTION("IMPORTRANGE(""https://docs.google.com/spreadsheets/d/12pGRKgvn2b31Uz_fjAl3XPzZUM_F2_O-zAHL2XHEPZg/edit?usp=sharing"",""รวมเหนือ!N274"")+IMPORTRANGE(""https://docs.google.com/spreadsheets/d/1c0UfJUA6nE6esVMy0kRcX_PENtt96DMxicQpqi3tips/edit?usp=sharing"","""&amp;"รวมตะวันออกเฉียงเหนือ!N274"")+IMPORTRANGE(""https://docs.google.com/spreadsheets/d/1iNWbYmj0agxPDl_yJgGu1eIremFPVMUuMWUKAjBzvrk/edit?usp=sharing"",""รวมกลาง!N274"")+IMPORTRANGE(""https://docs.google.com/spreadsheets/d/1uenpWDAH2bchvfvsSIjpd4bRU5D1faxJOaE3"&amp;"4GQM5-c/edit?usp=sharing"",""รวมใต้!N274"")"),0)</f>
        <v>0</v>
      </c>
      <c r="O274" s="42">
        <f t="shared" ca="1" si="173"/>
        <v>0</v>
      </c>
      <c r="P274" s="42">
        <f t="shared" ca="1" si="174"/>
        <v>0</v>
      </c>
      <c r="Q274" s="42">
        <f ca="1">IFERROR(__xludf.DUMMYFUNCTION("IMPORTRANGE(""https://docs.google.com/spreadsheets/d/12pGRKgvn2b31Uz_fjAl3XPzZUM_F2_O-zAHL2XHEPZg/edit?usp=sharing"",""รวมเหนือ!Q274"")+IMPORTRANGE(""https://docs.google.com/spreadsheets/d/1c0UfJUA6nE6esVMy0kRcX_PENtt96DMxicQpqi3tips/edit?usp=sharing"","""&amp;"รวมตะวันออกเฉียงเหนือ!Q274"")+IMPORTRANGE(""https://docs.google.com/spreadsheets/d/1iNWbYmj0agxPDl_yJgGu1eIremFPVMUuMWUKAjBzvrk/edit?usp=sharing"",""รวมกลาง!Q274"")+IMPORTRANGE(""https://docs.google.com/spreadsheets/d/1uenpWDAH2bchvfvsSIjpd4bRU5D1faxJOaE3"&amp;"4GQM5-c/edit?usp=sharing"",""รวมใต้!Q274"")"),0)</f>
        <v>0</v>
      </c>
      <c r="R274" s="42">
        <f ca="1">IFERROR(__xludf.DUMMYFUNCTION("IMPORTRANGE(""https://docs.google.com/spreadsheets/d/12pGRKgvn2b31Uz_fjAl3XPzZUM_F2_O-zAHL2XHEPZg/edit?usp=sharing"",""รวมเหนือ!R274"")+IMPORTRANGE(""https://docs.google.com/spreadsheets/d/1c0UfJUA6nE6esVMy0kRcX_PENtt96DMxicQpqi3tips/edit?usp=sharing"","""&amp;"รวมตะวันออกเฉียงเหนือ!R274"")+IMPORTRANGE(""https://docs.google.com/spreadsheets/d/1iNWbYmj0agxPDl_yJgGu1eIremFPVMUuMWUKAjBzvrk/edit?usp=sharing"",""รวมกลาง!R274"")+IMPORTRANGE(""https://docs.google.com/spreadsheets/d/1uenpWDAH2bchvfvsSIjpd4bRU5D1faxJOaE3"&amp;"4GQM5-c/edit?usp=sharing"",""รวมใต้!R274"")"),0)</f>
        <v>0</v>
      </c>
      <c r="S274" s="42">
        <f ca="1">IFERROR(__xludf.DUMMYFUNCTION("IMPORTRANGE(""https://docs.google.com/spreadsheets/d/12pGRKgvn2b31Uz_fjAl3XPzZUM_F2_O-zAHL2XHEPZg/edit?usp=sharing"",""รวมเหนือ!S274"")+IMPORTRANGE(""https://docs.google.com/spreadsheets/d/1c0UfJUA6nE6esVMy0kRcX_PENtt96DMxicQpqi3tips/edit?usp=sharing"","""&amp;"รวมตะวันออกเฉียงเหนือ!S274"")+IMPORTRANGE(""https://docs.google.com/spreadsheets/d/1iNWbYmj0agxPDl_yJgGu1eIremFPVMUuMWUKAjBzvrk/edit?usp=sharing"",""รวมกลาง!S274"")+IMPORTRANGE(""https://docs.google.com/spreadsheets/d/1uenpWDAH2bchvfvsSIjpd4bRU5D1faxJOaE3"&amp;"4GQM5-c/edit?usp=sharing"",""รวมใต้!S274"")"),0)</f>
        <v>0</v>
      </c>
      <c r="T274" s="42">
        <f t="shared" ca="1" si="176"/>
        <v>0</v>
      </c>
      <c r="U274" s="42">
        <f t="shared" ca="1" si="177"/>
        <v>0</v>
      </c>
    </row>
    <row r="275" spans="1:21" ht="19.5" x14ac:dyDescent="0.3">
      <c r="A275" s="152"/>
      <c r="B275" s="153"/>
      <c r="C275" s="143" t="s">
        <v>18</v>
      </c>
      <c r="D275" s="154" t="s">
        <v>38</v>
      </c>
      <c r="E275" s="155"/>
      <c r="F275" s="155"/>
      <c r="G275" s="156"/>
      <c r="H275" s="157"/>
      <c r="I275" s="149"/>
      <c r="J275" s="149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</row>
    <row r="276" spans="1:21" ht="18.75" x14ac:dyDescent="0.25">
      <c r="A276" s="254"/>
      <c r="B276" s="170"/>
      <c r="C276" s="170"/>
      <c r="D276" s="255" t="s">
        <v>116</v>
      </c>
      <c r="E276" s="36"/>
      <c r="F276" s="36"/>
      <c r="G276" s="38"/>
      <c r="H276" s="147" t="s">
        <v>35</v>
      </c>
      <c r="I276" s="176">
        <f ca="1">IFERROR(__xludf.DUMMYFUNCTION("IMPORTRANGE(""https://docs.google.com/spreadsheets/d/12pGRKgvn2b31Uz_fjAl3XPzZUM_F2_O-zAHL2XHEPZg/edit?usp=sharing"",""รวมเหนือ!I276"")+IMPORTRANGE(""https://docs.google.com/spreadsheets/d/1c0UfJUA6nE6esVMy0kRcX_PENtt96DMxicQpqi3tips/edit?usp=sharing"","""&amp;"รวมตะวันออกเฉียงเหนือ!I276"")+IMPORTRANGE(""https://docs.google.com/spreadsheets/d/1iNWbYmj0agxPDl_yJgGu1eIremFPVMUuMWUKAjBzvrk/edit?usp=sharing"",""รวมกลาง!I276"")+IMPORTRANGE(""https://docs.google.com/spreadsheets/d/1uenpWDAH2bchvfvsSIjpd4bRU5D1faxJOaE3"&amp;"4GQM5-c/edit?usp=sharing"",""รวมใต้!I276"")"),1600)</f>
        <v>1600</v>
      </c>
      <c r="J276" s="176">
        <f ca="1">IFERROR(__xludf.DUMMYFUNCTION("IMPORTRANGE(""https://docs.google.com/spreadsheets/d/12pGRKgvn2b31Uz_fjAl3XPzZUM_F2_O-zAHL2XHEPZg/edit?usp=sharing"",""รวมเหนือ!J276"")+IMPORTRANGE(""https://docs.google.com/spreadsheets/d/1c0UfJUA6nE6esVMy0kRcX_PENtt96DMxicQpqi3tips/edit?usp=sharing"","""&amp;"รวมตะวันออกเฉียงเหนือ!J276"")+IMPORTRANGE(""https://docs.google.com/spreadsheets/d/1iNWbYmj0agxPDl_yJgGu1eIremFPVMUuMWUKAjBzvrk/edit?usp=sharing"",""รวมกลาง!J276"")+IMPORTRANGE(""https://docs.google.com/spreadsheets/d/1uenpWDAH2bchvfvsSIjpd4bRU5D1faxJOaE3"&amp;"4GQM5-c/edit?usp=sharing"",""รวมใต้!J276"")"),1599)</f>
        <v>1599</v>
      </c>
      <c r="K276" s="42">
        <f ca="1">IF(I276&gt;0,J276*100/I276,0)</f>
        <v>99.9375</v>
      </c>
      <c r="L276" s="41"/>
      <c r="M276" s="41"/>
      <c r="N276" s="41"/>
      <c r="O276" s="41"/>
      <c r="P276" s="41"/>
      <c r="Q276" s="41"/>
      <c r="R276" s="41"/>
      <c r="S276" s="41"/>
      <c r="T276" s="41"/>
      <c r="U276" s="41"/>
    </row>
    <row r="277" spans="1:21" ht="18.75" x14ac:dyDescent="0.25">
      <c r="A277" s="256"/>
      <c r="B277" s="257"/>
      <c r="C277" s="257"/>
      <c r="D277" s="258" t="s">
        <v>117</v>
      </c>
      <c r="E277" s="259"/>
      <c r="F277" s="259"/>
      <c r="G277" s="260"/>
      <c r="H277" s="50" t="s">
        <v>35</v>
      </c>
      <c r="I277" s="193">
        <v>0</v>
      </c>
      <c r="J277" s="193">
        <v>0</v>
      </c>
      <c r="K277" s="261">
        <v>0</v>
      </c>
      <c r="L277" s="262"/>
      <c r="M277" s="262"/>
      <c r="N277" s="262"/>
      <c r="O277" s="262"/>
      <c r="P277" s="262"/>
      <c r="Q277" s="262"/>
      <c r="R277" s="262"/>
      <c r="S277" s="262"/>
      <c r="T277" s="262"/>
      <c r="U277" s="262"/>
    </row>
    <row r="278" spans="1:21" ht="19.5" x14ac:dyDescent="0.3">
      <c r="A278" s="263" t="s">
        <v>118</v>
      </c>
      <c r="B278" s="264"/>
      <c r="C278" s="264"/>
      <c r="D278" s="264"/>
      <c r="E278" s="265"/>
      <c r="F278" s="265"/>
      <c r="G278" s="265"/>
      <c r="H278" s="265"/>
      <c r="I278" s="266"/>
      <c r="J278" s="266"/>
      <c r="K278" s="267"/>
      <c r="L278" s="267"/>
      <c r="M278" s="267"/>
      <c r="N278" s="267"/>
      <c r="O278" s="267"/>
      <c r="P278" s="268"/>
      <c r="Q278" s="267"/>
      <c r="R278" s="267"/>
      <c r="S278" s="267"/>
      <c r="T278" s="267"/>
      <c r="U278" s="268"/>
    </row>
    <row r="279" spans="1:21" ht="19.5" x14ac:dyDescent="0.3">
      <c r="A279" s="269" t="s">
        <v>119</v>
      </c>
      <c r="B279" s="270"/>
      <c r="C279" s="271"/>
      <c r="D279" s="270"/>
      <c r="E279" s="270"/>
      <c r="F279" s="270"/>
      <c r="G279" s="270"/>
      <c r="H279" s="270"/>
      <c r="I279" s="272"/>
      <c r="J279" s="273"/>
      <c r="K279" s="274"/>
      <c r="L279" s="274"/>
      <c r="M279" s="274"/>
      <c r="N279" s="274"/>
      <c r="O279" s="274"/>
      <c r="P279" s="274"/>
      <c r="Q279" s="274"/>
      <c r="R279" s="274"/>
      <c r="S279" s="274"/>
      <c r="T279" s="274"/>
      <c r="U279" s="274"/>
    </row>
    <row r="280" spans="1:21" ht="19.5" x14ac:dyDescent="0.3">
      <c r="A280" s="275"/>
      <c r="B280" s="276" t="s">
        <v>120</v>
      </c>
      <c r="C280" s="277"/>
      <c r="D280" s="278"/>
      <c r="E280" s="277"/>
      <c r="F280" s="277"/>
      <c r="G280" s="279"/>
      <c r="H280" s="280" t="s">
        <v>35</v>
      </c>
      <c r="I280" s="281">
        <f t="shared" ref="I280:J280" ca="1" si="185">I293</f>
        <v>1000</v>
      </c>
      <c r="J280" s="281">
        <f t="shared" ca="1" si="185"/>
        <v>1014</v>
      </c>
      <c r="K280" s="282">
        <f t="shared" ref="K280:K281" ca="1" si="186">IF(I280&gt;0,J280*100/I280,0)</f>
        <v>101.4</v>
      </c>
      <c r="L280" s="283"/>
      <c r="M280" s="283"/>
      <c r="N280" s="283"/>
      <c r="O280" s="283"/>
      <c r="P280" s="283"/>
      <c r="Q280" s="283"/>
      <c r="R280" s="283"/>
      <c r="S280" s="283"/>
      <c r="T280" s="283"/>
      <c r="U280" s="283"/>
    </row>
    <row r="281" spans="1:21" ht="19.5" x14ac:dyDescent="0.3">
      <c r="A281" s="275"/>
      <c r="B281" s="277"/>
      <c r="C281" s="277"/>
      <c r="D281" s="278"/>
      <c r="E281" s="277"/>
      <c r="F281" s="277"/>
      <c r="G281" s="279"/>
      <c r="H281" s="280" t="s">
        <v>46</v>
      </c>
      <c r="I281" s="281">
        <f t="shared" ref="I281:J281" ca="1" si="187">I292</f>
        <v>10000</v>
      </c>
      <c r="J281" s="281">
        <f t="shared" ca="1" si="187"/>
        <v>10195</v>
      </c>
      <c r="K281" s="282">
        <f t="shared" ca="1" si="186"/>
        <v>101.95</v>
      </c>
      <c r="L281" s="283"/>
      <c r="M281" s="283"/>
      <c r="N281" s="283"/>
      <c r="O281" s="283"/>
      <c r="P281" s="283"/>
      <c r="Q281" s="283"/>
      <c r="R281" s="283"/>
      <c r="S281" s="283"/>
      <c r="T281" s="283"/>
      <c r="U281" s="283"/>
    </row>
    <row r="282" spans="1:21" ht="19.5" x14ac:dyDescent="0.3">
      <c r="A282" s="142"/>
      <c r="B282" s="36"/>
      <c r="C282" s="143" t="s">
        <v>18</v>
      </c>
      <c r="D282" s="144" t="s">
        <v>19</v>
      </c>
      <c r="E282" s="36"/>
      <c r="F282" s="36"/>
      <c r="G282" s="38"/>
      <c r="H282" s="145" t="s">
        <v>14</v>
      </c>
      <c r="I282" s="40"/>
      <c r="J282" s="40"/>
      <c r="K282" s="41"/>
      <c r="L282" s="146">
        <f t="shared" ref="L282:N282" ca="1" si="188">L283+L284</f>
        <v>7015000</v>
      </c>
      <c r="M282" s="146">
        <f t="shared" ca="1" si="188"/>
        <v>7015000</v>
      </c>
      <c r="N282" s="146">
        <f t="shared" ca="1" si="188"/>
        <v>7011989.5199999996</v>
      </c>
      <c r="O282" s="146">
        <f t="shared" ref="O282:O290" ca="1" si="189">IF(L282&gt;0,N282*100/L282,0)</f>
        <v>99.957085103349968</v>
      </c>
      <c r="P282" s="146">
        <f t="shared" ref="P282:P290" ca="1" si="190">IF(M282&gt;0,N282*100/M282,0)</f>
        <v>99.957085103349968</v>
      </c>
      <c r="Q282" s="146">
        <f t="shared" ref="Q282:S282" si="191">Q283+Q284</f>
        <v>0</v>
      </c>
      <c r="R282" s="146">
        <f t="shared" si="191"/>
        <v>0</v>
      </c>
      <c r="S282" s="146">
        <f t="shared" si="191"/>
        <v>0</v>
      </c>
      <c r="T282" s="146">
        <f t="shared" ref="T282:T285" si="192">IF(Q282&gt;0,S282*100/Q282,0)</f>
        <v>0</v>
      </c>
      <c r="U282" s="146">
        <f t="shared" ref="U282:U285" si="193">IF(R282&gt;0,S282*100/R282,0)</f>
        <v>0</v>
      </c>
    </row>
    <row r="283" spans="1:21" ht="18.75" x14ac:dyDescent="0.25">
      <c r="A283" s="142"/>
      <c r="B283" s="36"/>
      <c r="C283" s="36"/>
      <c r="D283" s="36"/>
      <c r="E283" s="43" t="s">
        <v>20</v>
      </c>
      <c r="F283" s="36"/>
      <c r="G283" s="38"/>
      <c r="H283" s="147" t="s">
        <v>14</v>
      </c>
      <c r="I283" s="40"/>
      <c r="J283" s="40"/>
      <c r="K283" s="41"/>
      <c r="L283" s="42">
        <f t="shared" ref="L283:N283" ca="1" si="194">L286+L289</f>
        <v>1652850</v>
      </c>
      <c r="M283" s="42">
        <f t="shared" ca="1" si="194"/>
        <v>1266510</v>
      </c>
      <c r="N283" s="42">
        <f t="shared" ca="1" si="194"/>
        <v>1265451.69</v>
      </c>
      <c r="O283" s="42">
        <f t="shared" ca="1" si="189"/>
        <v>76.561798711316811</v>
      </c>
      <c r="P283" s="42">
        <f t="shared" ca="1" si="190"/>
        <v>99.916438875334578</v>
      </c>
      <c r="Q283" s="42">
        <f t="shared" ref="Q283:S283" si="195">Q286+Q289</f>
        <v>0</v>
      </c>
      <c r="R283" s="42">
        <f t="shared" si="195"/>
        <v>0</v>
      </c>
      <c r="S283" s="42">
        <f t="shared" si="195"/>
        <v>0</v>
      </c>
      <c r="T283" s="42">
        <f t="shared" si="192"/>
        <v>0</v>
      </c>
      <c r="U283" s="42">
        <f t="shared" si="193"/>
        <v>0</v>
      </c>
    </row>
    <row r="284" spans="1:21" ht="18.75" x14ac:dyDescent="0.25">
      <c r="A284" s="142"/>
      <c r="B284" s="36"/>
      <c r="C284" s="36"/>
      <c r="D284" s="36"/>
      <c r="E284" s="43" t="s">
        <v>21</v>
      </c>
      <c r="F284" s="36"/>
      <c r="G284" s="38"/>
      <c r="H284" s="147" t="s">
        <v>14</v>
      </c>
      <c r="I284" s="40"/>
      <c r="J284" s="40"/>
      <c r="K284" s="41"/>
      <c r="L284" s="42">
        <f t="shared" ref="L284:N284" ca="1" si="196">L287+L290</f>
        <v>5362150</v>
      </c>
      <c r="M284" s="42">
        <f t="shared" ca="1" si="196"/>
        <v>5748490</v>
      </c>
      <c r="N284" s="42">
        <f t="shared" ca="1" si="196"/>
        <v>5746537.8300000001</v>
      </c>
      <c r="O284" s="42">
        <f t="shared" ca="1" si="189"/>
        <v>107.16853929860224</v>
      </c>
      <c r="P284" s="42">
        <f t="shared" ca="1" si="190"/>
        <v>99.966040299278589</v>
      </c>
      <c r="Q284" s="42">
        <f t="shared" ref="Q284:S284" si="197">Q287+Q290</f>
        <v>0</v>
      </c>
      <c r="R284" s="42">
        <f t="shared" si="197"/>
        <v>0</v>
      </c>
      <c r="S284" s="42">
        <f t="shared" si="197"/>
        <v>0</v>
      </c>
      <c r="T284" s="42">
        <f t="shared" si="192"/>
        <v>0</v>
      </c>
      <c r="U284" s="42">
        <f t="shared" si="193"/>
        <v>0</v>
      </c>
    </row>
    <row r="285" spans="1:21" ht="18.75" x14ac:dyDescent="0.25">
      <c r="A285" s="142"/>
      <c r="B285" s="36"/>
      <c r="C285" s="36"/>
      <c r="D285" s="37" t="s">
        <v>22</v>
      </c>
      <c r="E285" s="36"/>
      <c r="F285" s="36"/>
      <c r="G285" s="38"/>
      <c r="H285" s="148" t="s">
        <v>14</v>
      </c>
      <c r="I285" s="149"/>
      <c r="J285" s="149"/>
      <c r="K285" s="150"/>
      <c r="L285" s="42">
        <f t="shared" ref="L285:N285" ca="1" si="198">L286+L287</f>
        <v>7015000</v>
      </c>
      <c r="M285" s="42">
        <f t="shared" ca="1" si="198"/>
        <v>7015000</v>
      </c>
      <c r="N285" s="42">
        <f t="shared" ca="1" si="198"/>
        <v>7011989.5199999996</v>
      </c>
      <c r="O285" s="42">
        <f t="shared" ca="1" si="189"/>
        <v>99.957085103349968</v>
      </c>
      <c r="P285" s="42">
        <f t="shared" ca="1" si="190"/>
        <v>99.957085103349968</v>
      </c>
      <c r="Q285" s="42">
        <f t="shared" ref="Q285:S285" si="199">Q286+Q287</f>
        <v>0</v>
      </c>
      <c r="R285" s="42">
        <f t="shared" si="199"/>
        <v>0</v>
      </c>
      <c r="S285" s="42">
        <f t="shared" si="199"/>
        <v>0</v>
      </c>
      <c r="T285" s="42">
        <f t="shared" si="192"/>
        <v>0</v>
      </c>
      <c r="U285" s="42">
        <f t="shared" si="193"/>
        <v>0</v>
      </c>
    </row>
    <row r="286" spans="1:21" ht="18.75" x14ac:dyDescent="0.25">
      <c r="A286" s="142"/>
      <c r="B286" s="36"/>
      <c r="C286" s="36"/>
      <c r="D286" s="36"/>
      <c r="E286" s="43" t="s">
        <v>36</v>
      </c>
      <c r="F286" s="36"/>
      <c r="G286" s="38"/>
      <c r="H286" s="148" t="s">
        <v>14</v>
      </c>
      <c r="I286" s="149"/>
      <c r="J286" s="149"/>
      <c r="K286" s="150"/>
      <c r="L286" s="42">
        <f ca="1">IFERROR(__xludf.DUMMYFUNCTION("IMPORTRANGE(""https://docs.google.com/spreadsheets/d/1-uDff_7J0KD5mKrp0Vvzr7lt3OU09vwQwhkpOPPYv2Y/edit?usp=sharing"",""งบพรบ!DO9"")"),1652850)</f>
        <v>1652850</v>
      </c>
      <c r="M286" s="42">
        <f ca="1">IFERROR(__xludf.DUMMYFUNCTION("IMPORTRANGE(""https://docs.google.com/spreadsheets/d/1-uDff_7J0KD5mKrp0Vvzr7lt3OU09vwQwhkpOPPYv2Y/edit?usp=sharing"",""งบพรบ!DT9"")"),1266510)</f>
        <v>1266510</v>
      </c>
      <c r="N286" s="42">
        <f ca="1">IFERROR(__xludf.DUMMYFUNCTION("IMPORTRANGE(""https://docs.google.com/spreadsheets/d/1-uDff_7J0KD5mKrp0Vvzr7lt3OU09vwQwhkpOPPYv2Y/edit?usp=sharing"",""งบพรบ!DV9"")"),1265451.69)</f>
        <v>1265451.69</v>
      </c>
      <c r="O286" s="42">
        <f t="shared" ca="1" si="189"/>
        <v>76.561798711316811</v>
      </c>
      <c r="P286" s="42">
        <f t="shared" ca="1" si="190"/>
        <v>99.916438875334578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</row>
    <row r="287" spans="1:21" ht="18.75" x14ac:dyDescent="0.25">
      <c r="A287" s="142"/>
      <c r="B287" s="36"/>
      <c r="C287" s="36"/>
      <c r="D287" s="36"/>
      <c r="E287" s="43" t="s">
        <v>37</v>
      </c>
      <c r="F287" s="36"/>
      <c r="G287" s="38"/>
      <c r="H287" s="148" t="s">
        <v>14</v>
      </c>
      <c r="I287" s="149"/>
      <c r="J287" s="149"/>
      <c r="K287" s="150"/>
      <c r="L287" s="42">
        <f ca="1">IFERROR(__xludf.DUMMYFUNCTION("IMPORTRANGE(""https://docs.google.com/spreadsheets/d/12pGRKgvn2b31Uz_fjAl3XPzZUM_F2_O-zAHL2XHEPZg/edit?usp=sharing"",""รวมเหนือ!L287"")+IMPORTRANGE(""https://docs.google.com/spreadsheets/d/1c0UfJUA6nE6esVMy0kRcX_PENtt96DMxicQpqi3tips/edit?usp=sharing"","""&amp;"รวมตะวันออกเฉียงเหนือ!L287"")+IMPORTRANGE(""https://docs.google.com/spreadsheets/d/1iNWbYmj0agxPDl_yJgGu1eIremFPVMUuMWUKAjBzvrk/edit?usp=sharing"",""รวมกลาง!L287"")+IMPORTRANGE(""https://docs.google.com/spreadsheets/d/1uenpWDAH2bchvfvsSIjpd4bRU5D1faxJOaE3"&amp;"4GQM5-c/edit?usp=sharing"",""รวมใต้!L287"")"),5362150)</f>
        <v>5362150</v>
      </c>
      <c r="M287" s="42">
        <f ca="1">IFERROR(__xludf.DUMMYFUNCTION("IMPORTRANGE(""https://docs.google.com/spreadsheets/d/12pGRKgvn2b31Uz_fjAl3XPzZUM_F2_O-zAHL2XHEPZg/edit?usp=sharing"",""รวมเหนือ!M287"")+IMPORTRANGE(""https://docs.google.com/spreadsheets/d/1c0UfJUA6nE6esVMy0kRcX_PENtt96DMxicQpqi3tips/edit?usp=sharing"","""&amp;"รวมตะวันออกเฉียงเหนือ!M287"")+IMPORTRANGE(""https://docs.google.com/spreadsheets/d/1iNWbYmj0agxPDl_yJgGu1eIremFPVMUuMWUKAjBzvrk/edit?usp=sharing"",""รวมกลาง!M287"")+IMPORTRANGE(""https://docs.google.com/spreadsheets/d/1uenpWDAH2bchvfvsSIjpd4bRU5D1faxJOaE3"&amp;"4GQM5-c/edit?usp=sharing"",""รวมใต้!M287"")"),5748490)</f>
        <v>5748490</v>
      </c>
      <c r="N287" s="42">
        <f ca="1">IFERROR(__xludf.DUMMYFUNCTION("IMPORTRANGE(""https://docs.google.com/spreadsheets/d/12pGRKgvn2b31Uz_fjAl3XPzZUM_F2_O-zAHL2XHEPZg/edit?usp=sharing"",""รวมเหนือ!N287"")+IMPORTRANGE(""https://docs.google.com/spreadsheets/d/1c0UfJUA6nE6esVMy0kRcX_PENtt96DMxicQpqi3tips/edit?usp=sharing"","""&amp;"รวมตะวันออกเฉียงเหนือ!N287"")+IMPORTRANGE(""https://docs.google.com/spreadsheets/d/1iNWbYmj0agxPDl_yJgGu1eIremFPVMUuMWUKAjBzvrk/edit?usp=sharing"",""รวมกลาง!N287"")+IMPORTRANGE(""https://docs.google.com/spreadsheets/d/1uenpWDAH2bchvfvsSIjpd4bRU5D1faxJOaE3"&amp;"4GQM5-c/edit?usp=sharing"",""รวมใต้!N287"")"),5746537.83)</f>
        <v>5746537.8300000001</v>
      </c>
      <c r="O287" s="42">
        <f t="shared" ca="1" si="189"/>
        <v>107.16853929860224</v>
      </c>
      <c r="P287" s="42">
        <f t="shared" ca="1" si="190"/>
        <v>99.966040299278589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</row>
    <row r="288" spans="1:21" ht="18.75" x14ac:dyDescent="0.25">
      <c r="A288" s="142"/>
      <c r="B288" s="36"/>
      <c r="C288" s="36"/>
      <c r="D288" s="37" t="s">
        <v>23</v>
      </c>
      <c r="E288" s="36"/>
      <c r="F288" s="36"/>
      <c r="G288" s="38"/>
      <c r="H288" s="151" t="s">
        <v>14</v>
      </c>
      <c r="I288" s="149"/>
      <c r="J288" s="149"/>
      <c r="K288" s="150"/>
      <c r="L288" s="42">
        <f t="shared" ref="L288:N288" ca="1" si="200">L289+L290</f>
        <v>0</v>
      </c>
      <c r="M288" s="42">
        <f t="shared" ca="1" si="200"/>
        <v>0</v>
      </c>
      <c r="N288" s="42">
        <f t="shared" ca="1" si="200"/>
        <v>0</v>
      </c>
      <c r="O288" s="42">
        <f t="shared" ca="1" si="189"/>
        <v>0</v>
      </c>
      <c r="P288" s="42">
        <f t="shared" ca="1" si="190"/>
        <v>0</v>
      </c>
      <c r="Q288" s="42">
        <f t="shared" ref="Q288:S288" si="201">Q289+Q290</f>
        <v>0</v>
      </c>
      <c r="R288" s="42">
        <f t="shared" si="201"/>
        <v>0</v>
      </c>
      <c r="S288" s="42">
        <f t="shared" si="201"/>
        <v>0</v>
      </c>
      <c r="T288" s="42">
        <f>IF(Q288&gt;0,S288*100/Q288,0)</f>
        <v>0</v>
      </c>
      <c r="U288" s="42">
        <f>IF(R288&gt;0,S288*100/R288,0)</f>
        <v>0</v>
      </c>
    </row>
    <row r="289" spans="1:21" ht="18.75" x14ac:dyDescent="0.25">
      <c r="A289" s="142"/>
      <c r="B289" s="36"/>
      <c r="C289" s="36"/>
      <c r="D289" s="36"/>
      <c r="E289" s="43" t="s">
        <v>20</v>
      </c>
      <c r="F289" s="36"/>
      <c r="G289" s="38"/>
      <c r="H289" s="148" t="s">
        <v>14</v>
      </c>
      <c r="I289" s="149"/>
      <c r="J289" s="149"/>
      <c r="K289" s="150"/>
      <c r="L289" s="42">
        <f ca="1">IFERROR(__xludf.DUMMYFUNCTION("IMPORTRANGE(""https://docs.google.com/spreadsheets/d/12pGRKgvn2b31Uz_fjAl3XPzZUM_F2_O-zAHL2XHEPZg/edit?usp=sharing"",""รวมเหนือ!L289"")+IMPORTRANGE(""https://docs.google.com/spreadsheets/d/1c0UfJUA6nE6esVMy0kRcX_PENtt96DMxicQpqi3tips/edit?usp=sharing"","""&amp;"รวมตะวันออกเฉียงเหนือ!L289"")+IMPORTRANGE(""https://docs.google.com/spreadsheets/d/1iNWbYmj0agxPDl_yJgGu1eIremFPVMUuMWUKAjBzvrk/edit?usp=sharing"",""รวมกลาง!L289"")+IMPORTRANGE(""https://docs.google.com/spreadsheets/d/1uenpWDAH2bchvfvsSIjpd4bRU5D1faxJOaE3"&amp;"4GQM5-c/edit?usp=sharing"",""รวมใต้!L289"")"),0)</f>
        <v>0</v>
      </c>
      <c r="M289" s="42">
        <f ca="1">IFERROR(__xludf.DUMMYFUNCTION("IMPORTRANGE(""https://docs.google.com/spreadsheets/d/12pGRKgvn2b31Uz_fjAl3XPzZUM_F2_O-zAHL2XHEPZg/edit?usp=sharing"",""รวมเหนือ!M289"")+IMPORTRANGE(""https://docs.google.com/spreadsheets/d/1c0UfJUA6nE6esVMy0kRcX_PENtt96DMxicQpqi3tips/edit?usp=sharing"","""&amp;"รวมตะวันออกเฉียงเหนือ!M289"")+IMPORTRANGE(""https://docs.google.com/spreadsheets/d/1iNWbYmj0agxPDl_yJgGu1eIremFPVMUuMWUKAjBzvrk/edit?usp=sharing"",""รวมกลาง!M289"")+IMPORTRANGE(""https://docs.google.com/spreadsheets/d/1uenpWDAH2bchvfvsSIjpd4bRU5D1faxJOaE3"&amp;"4GQM5-c/edit?usp=sharing"",""รวมใต้!M289"")"),0)</f>
        <v>0</v>
      </c>
      <c r="N289" s="42">
        <f ca="1">IFERROR(__xludf.DUMMYFUNCTION("IMPORTRANGE(""https://docs.google.com/spreadsheets/d/12pGRKgvn2b31Uz_fjAl3XPzZUM_F2_O-zAHL2XHEPZg/edit?usp=sharing"",""รวมเหนือ!N289"")+IMPORTRANGE(""https://docs.google.com/spreadsheets/d/1c0UfJUA6nE6esVMy0kRcX_PENtt96DMxicQpqi3tips/edit?usp=sharing"","""&amp;"รวมตะวันออกเฉียงเหนือ!N289"")+IMPORTRANGE(""https://docs.google.com/spreadsheets/d/1iNWbYmj0agxPDl_yJgGu1eIremFPVMUuMWUKAjBzvrk/edit?usp=sharing"",""รวมกลาง!N289"")+IMPORTRANGE(""https://docs.google.com/spreadsheets/d/1uenpWDAH2bchvfvsSIjpd4bRU5D1faxJOaE3"&amp;"4GQM5-c/edit?usp=sharing"",""รวมใต้!N289"")"),0)</f>
        <v>0</v>
      </c>
      <c r="O289" s="42">
        <f t="shared" ca="1" si="189"/>
        <v>0</v>
      </c>
      <c r="P289" s="42">
        <f t="shared" ca="1" si="190"/>
        <v>0</v>
      </c>
      <c r="Q289" s="42">
        <v>0</v>
      </c>
      <c r="R289" s="42">
        <v>0</v>
      </c>
      <c r="S289" s="42">
        <v>0</v>
      </c>
      <c r="T289" s="42">
        <v>0</v>
      </c>
      <c r="U289" s="42">
        <v>0</v>
      </c>
    </row>
    <row r="290" spans="1:21" ht="18.75" x14ac:dyDescent="0.25">
      <c r="A290" s="142"/>
      <c r="B290" s="36"/>
      <c r="C290" s="36"/>
      <c r="D290" s="36"/>
      <c r="E290" s="43" t="s">
        <v>21</v>
      </c>
      <c r="F290" s="36"/>
      <c r="G290" s="38"/>
      <c r="H290" s="151" t="s">
        <v>14</v>
      </c>
      <c r="I290" s="149"/>
      <c r="J290" s="149"/>
      <c r="K290" s="150"/>
      <c r="L290" s="42">
        <f ca="1">IFERROR(__xludf.DUMMYFUNCTION("IMPORTRANGE(""https://docs.google.com/spreadsheets/d/12pGRKgvn2b31Uz_fjAl3XPzZUM_F2_O-zAHL2XHEPZg/edit?usp=sharing"",""รวมเหนือ!L290"")+IMPORTRANGE(""https://docs.google.com/spreadsheets/d/1c0UfJUA6nE6esVMy0kRcX_PENtt96DMxicQpqi3tips/edit?usp=sharing"","""&amp;"รวมตะวันออกเฉียงเหนือ!L290"")+IMPORTRANGE(""https://docs.google.com/spreadsheets/d/1iNWbYmj0agxPDl_yJgGu1eIremFPVMUuMWUKAjBzvrk/edit?usp=sharing"",""รวมกลาง!L290"")+IMPORTRANGE(""https://docs.google.com/spreadsheets/d/1uenpWDAH2bchvfvsSIjpd4bRU5D1faxJOaE3"&amp;"4GQM5-c/edit?usp=sharing"",""รวมใต้!L290"")"),0)</f>
        <v>0</v>
      </c>
      <c r="M290" s="42">
        <f ca="1">IFERROR(__xludf.DUMMYFUNCTION("IMPORTRANGE(""https://docs.google.com/spreadsheets/d/12pGRKgvn2b31Uz_fjAl3XPzZUM_F2_O-zAHL2XHEPZg/edit?usp=sharing"",""รวมเหนือ!M290"")+IMPORTRANGE(""https://docs.google.com/spreadsheets/d/1c0UfJUA6nE6esVMy0kRcX_PENtt96DMxicQpqi3tips/edit?usp=sharing"","""&amp;"รวมตะวันออกเฉียงเหนือ!M290"")+IMPORTRANGE(""https://docs.google.com/spreadsheets/d/1iNWbYmj0agxPDl_yJgGu1eIremFPVMUuMWUKAjBzvrk/edit?usp=sharing"",""รวมกลาง!M290"")+IMPORTRANGE(""https://docs.google.com/spreadsheets/d/1uenpWDAH2bchvfvsSIjpd4bRU5D1faxJOaE3"&amp;"4GQM5-c/edit?usp=sharing"",""รวมใต้!M290"")"),0)</f>
        <v>0</v>
      </c>
      <c r="N290" s="42">
        <f ca="1">IFERROR(__xludf.DUMMYFUNCTION("IMPORTRANGE(""https://docs.google.com/spreadsheets/d/12pGRKgvn2b31Uz_fjAl3XPzZUM_F2_O-zAHL2XHEPZg/edit?usp=sharing"",""รวมเหนือ!N290"")+IMPORTRANGE(""https://docs.google.com/spreadsheets/d/1c0UfJUA6nE6esVMy0kRcX_PENtt96DMxicQpqi3tips/edit?usp=sharing"","""&amp;"รวมตะวันออกเฉียงเหนือ!N290"")+IMPORTRANGE(""https://docs.google.com/spreadsheets/d/1iNWbYmj0agxPDl_yJgGu1eIremFPVMUuMWUKAjBzvrk/edit?usp=sharing"",""รวมกลาง!N290"")+IMPORTRANGE(""https://docs.google.com/spreadsheets/d/1uenpWDAH2bchvfvsSIjpd4bRU5D1faxJOaE3"&amp;"4GQM5-c/edit?usp=sharing"",""รวมใต้!N290"")"),0)</f>
        <v>0</v>
      </c>
      <c r="O290" s="42">
        <f t="shared" ca="1" si="189"/>
        <v>0</v>
      </c>
      <c r="P290" s="42">
        <f t="shared" ca="1" si="190"/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</row>
    <row r="291" spans="1:21" ht="19.5" x14ac:dyDescent="0.3">
      <c r="A291" s="152"/>
      <c r="B291" s="153"/>
      <c r="C291" s="143" t="s">
        <v>18</v>
      </c>
      <c r="D291" s="154" t="s">
        <v>38</v>
      </c>
      <c r="E291" s="155"/>
      <c r="F291" s="155"/>
      <c r="G291" s="156"/>
      <c r="H291" s="157"/>
      <c r="I291" s="149"/>
      <c r="J291" s="149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</row>
    <row r="292" spans="1:21" ht="18.75" x14ac:dyDescent="0.25">
      <c r="A292" s="152"/>
      <c r="B292" s="153"/>
      <c r="C292" s="153"/>
      <c r="D292" s="163" t="s">
        <v>121</v>
      </c>
      <c r="E292" s="153"/>
      <c r="F292" s="159"/>
      <c r="G292" s="157"/>
      <c r="H292" s="167" t="s">
        <v>46</v>
      </c>
      <c r="I292" s="176">
        <f ca="1">IFERROR(__xludf.DUMMYFUNCTION("IMPORTRANGE(""https://docs.google.com/spreadsheets/d/12pGRKgvn2b31Uz_fjAl3XPzZUM_F2_O-zAHL2XHEPZg/edit?usp=sharing"",""รวมเหนือ!I292"")+IMPORTRANGE(""https://docs.google.com/spreadsheets/d/1c0UfJUA6nE6esVMy0kRcX_PENtt96DMxicQpqi3tips/edit?usp=sharing"","""&amp;"รวมตะวันออกเฉียงเหนือ!I292"")+IMPORTRANGE(""https://docs.google.com/spreadsheets/d/1iNWbYmj0agxPDl_yJgGu1eIremFPVMUuMWUKAjBzvrk/edit?usp=sharing"",""รวมกลาง!I292"")+IMPORTRANGE(""https://docs.google.com/spreadsheets/d/1uenpWDAH2bchvfvsSIjpd4bRU5D1faxJOaE3"&amp;"4GQM5-c/edit?usp=sharing"",""รวมใต้!I292"")"),10000)</f>
        <v>10000</v>
      </c>
      <c r="J292" s="176">
        <f ca="1">IFERROR(__xludf.DUMMYFUNCTION("IMPORTRANGE(""https://docs.google.com/spreadsheets/d/12pGRKgvn2b31Uz_fjAl3XPzZUM_F2_O-zAHL2XHEPZg/edit?usp=sharing"",""รวมเหนือ!J292"")+IMPORTRANGE(""https://docs.google.com/spreadsheets/d/1c0UfJUA6nE6esVMy0kRcX_PENtt96DMxicQpqi3tips/edit?usp=sharing"","""&amp;"รวมตะวันออกเฉียงเหนือ!J292"")+IMPORTRANGE(""https://docs.google.com/spreadsheets/d/1iNWbYmj0agxPDl_yJgGu1eIremFPVMUuMWUKAjBzvrk/edit?usp=sharing"",""รวมกลาง!J292"")+IMPORTRANGE(""https://docs.google.com/spreadsheets/d/1uenpWDAH2bchvfvsSIjpd4bRU5D1faxJOaE3"&amp;"4GQM5-c/edit?usp=sharing"",""รวมใต้!J292"")"),10195)</f>
        <v>10195</v>
      </c>
      <c r="K292" s="166">
        <f t="shared" ref="K292:K293" ca="1" si="202">IF(I292&gt;0,J292*100/I292,0)</f>
        <v>101.95</v>
      </c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</row>
    <row r="293" spans="1:21" ht="19.5" x14ac:dyDescent="0.3">
      <c r="A293" s="152"/>
      <c r="B293" s="153"/>
      <c r="C293" s="153"/>
      <c r="D293" s="163" t="s">
        <v>122</v>
      </c>
      <c r="E293" s="153"/>
      <c r="F293" s="159"/>
      <c r="G293" s="157"/>
      <c r="H293" s="160" t="s">
        <v>35</v>
      </c>
      <c r="I293" s="161">
        <f ca="1">IFERROR(__xludf.DUMMYFUNCTION("IMPORTRANGE(""https://docs.google.com/spreadsheets/d/12pGRKgvn2b31Uz_fjAl3XPzZUM_F2_O-zAHL2XHEPZg/edit?usp=sharing"",""รวมเหนือ!I293"")+IMPORTRANGE(""https://docs.google.com/spreadsheets/d/1c0UfJUA6nE6esVMy0kRcX_PENtt96DMxicQpqi3tips/edit?usp=sharing"","""&amp;"รวมตะวันออกเฉียงเหนือ!I293"")+IMPORTRANGE(""https://docs.google.com/spreadsheets/d/1iNWbYmj0agxPDl_yJgGu1eIremFPVMUuMWUKAjBzvrk/edit?usp=sharing"",""รวมกลาง!I293"")+IMPORTRANGE(""https://docs.google.com/spreadsheets/d/1uenpWDAH2bchvfvsSIjpd4bRU5D1faxJOaE3"&amp;"4GQM5-c/edit?usp=sharing"",""รวมใต้!I293"")"),1000)</f>
        <v>1000</v>
      </c>
      <c r="J293" s="161">
        <f ca="1">IFERROR(__xludf.DUMMYFUNCTION("IMPORTRANGE(""https://docs.google.com/spreadsheets/d/12pGRKgvn2b31Uz_fjAl3XPzZUM_F2_O-zAHL2XHEPZg/edit?usp=sharing"",""รวมเหนือ!J293"")+IMPORTRANGE(""https://docs.google.com/spreadsheets/d/1c0UfJUA6nE6esVMy0kRcX_PENtt96DMxicQpqi3tips/edit?usp=sharing"","""&amp;"รวมตะวันออกเฉียงเหนือ!J293"")+IMPORTRANGE(""https://docs.google.com/spreadsheets/d/1iNWbYmj0agxPDl_yJgGu1eIremFPVMUuMWUKAjBzvrk/edit?usp=sharing"",""รวมกลาง!J293"")+IMPORTRANGE(""https://docs.google.com/spreadsheets/d/1uenpWDAH2bchvfvsSIjpd4bRU5D1faxJOaE3"&amp;"4GQM5-c/edit?usp=sharing"",""รวมใต้!J293"")"),1014)</f>
        <v>1014</v>
      </c>
      <c r="K293" s="162">
        <f t="shared" ca="1" si="202"/>
        <v>101.4</v>
      </c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</row>
    <row r="294" spans="1:21" ht="19.5" x14ac:dyDescent="0.3">
      <c r="A294" s="152"/>
      <c r="B294" s="153"/>
      <c r="C294" s="153"/>
      <c r="D294" s="159"/>
      <c r="E294" s="174" t="s">
        <v>123</v>
      </c>
      <c r="F294" s="159"/>
      <c r="G294" s="157"/>
      <c r="H294" s="157"/>
      <c r="I294" s="149"/>
      <c r="J294" s="149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</row>
    <row r="295" spans="1:21" ht="19.5" x14ac:dyDescent="0.3">
      <c r="A295" s="152"/>
      <c r="B295" s="153"/>
      <c r="C295" s="153"/>
      <c r="D295" s="159"/>
      <c r="E295" s="163" t="s">
        <v>124</v>
      </c>
      <c r="F295" s="159"/>
      <c r="G295" s="157"/>
      <c r="H295" s="164" t="s">
        <v>35</v>
      </c>
      <c r="I295" s="165">
        <f ca="1">IFERROR(__xludf.DUMMYFUNCTION("IMPORTRANGE(""https://docs.google.com/spreadsheets/d/12pGRKgvn2b31Uz_fjAl3XPzZUM_F2_O-zAHL2XHEPZg/edit?usp=sharing"",""รวมเหนือ!I295"")+IMPORTRANGE(""https://docs.google.com/spreadsheets/d/1c0UfJUA6nE6esVMy0kRcX_PENtt96DMxicQpqi3tips/edit?usp=sharing"","""&amp;"รวมตะวันออกเฉียงเหนือ!I295"")+IMPORTRANGE(""https://docs.google.com/spreadsheets/d/1iNWbYmj0agxPDl_yJgGu1eIremFPVMUuMWUKAjBzvrk/edit?usp=sharing"",""รวมกลาง!I295"")+IMPORTRANGE(""https://docs.google.com/spreadsheets/d/1uenpWDAH2bchvfvsSIjpd4bRU5D1faxJOaE3"&amp;"4GQM5-c/edit?usp=sharing"",""รวมใต้!I295"")"),1000)</f>
        <v>1000</v>
      </c>
      <c r="J295" s="165">
        <f ca="1">IFERROR(__xludf.DUMMYFUNCTION("IMPORTRANGE(""https://docs.google.com/spreadsheets/d/12pGRKgvn2b31Uz_fjAl3XPzZUM_F2_O-zAHL2XHEPZg/edit?usp=sharing"",""รวมเหนือ!J295"")+IMPORTRANGE(""https://docs.google.com/spreadsheets/d/1c0UfJUA6nE6esVMy0kRcX_PENtt96DMxicQpqi3tips/edit?usp=sharing"","""&amp;"รวมตะวันออกเฉียงเหนือ!J295"")+IMPORTRANGE(""https://docs.google.com/spreadsheets/d/1iNWbYmj0agxPDl_yJgGu1eIremFPVMUuMWUKAjBzvrk/edit?usp=sharing"",""รวมกลาง!J295"")+IMPORTRANGE(""https://docs.google.com/spreadsheets/d/1uenpWDAH2bchvfvsSIjpd4bRU5D1faxJOaE3"&amp;"4GQM5-c/edit?usp=sharing"",""รวมใต้!J295"")"),1014)</f>
        <v>1014</v>
      </c>
      <c r="K295" s="166">
        <f t="shared" ref="K295:K296" ca="1" si="203">IF(I295&gt;0,J295*100/I295,0)</f>
        <v>101.4</v>
      </c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</row>
    <row r="296" spans="1:21" ht="19.5" x14ac:dyDescent="0.3">
      <c r="A296" s="152"/>
      <c r="B296" s="153"/>
      <c r="C296" s="153"/>
      <c r="D296" s="159"/>
      <c r="E296" s="163" t="s">
        <v>125</v>
      </c>
      <c r="F296" s="159"/>
      <c r="G296" s="157"/>
      <c r="H296" s="164" t="s">
        <v>35</v>
      </c>
      <c r="I296" s="165">
        <f ca="1">IFERROR(__xludf.DUMMYFUNCTION("IMPORTRANGE(""https://docs.google.com/spreadsheets/d/12pGRKgvn2b31Uz_fjAl3XPzZUM_F2_O-zAHL2XHEPZg/edit?usp=sharing"",""รวมเหนือ!I296"")+IMPORTRANGE(""https://docs.google.com/spreadsheets/d/1c0UfJUA6nE6esVMy0kRcX_PENtt96DMxicQpqi3tips/edit?usp=sharing"","""&amp;"รวมตะวันออกเฉียงเหนือ!I296"")+IMPORTRANGE(""https://docs.google.com/spreadsheets/d/1iNWbYmj0agxPDl_yJgGu1eIremFPVMUuMWUKAjBzvrk/edit?usp=sharing"",""รวมกลาง!I296"")+IMPORTRANGE(""https://docs.google.com/spreadsheets/d/1uenpWDAH2bchvfvsSIjpd4bRU5D1faxJOaE3"&amp;"4GQM5-c/edit?usp=sharing"",""รวมใต้!I296"")"),1000)</f>
        <v>1000</v>
      </c>
      <c r="J296" s="165">
        <f ca="1">IFERROR(__xludf.DUMMYFUNCTION("IMPORTRANGE(""https://docs.google.com/spreadsheets/d/12pGRKgvn2b31Uz_fjAl3XPzZUM_F2_O-zAHL2XHEPZg/edit?usp=sharing"",""รวมเหนือ!J296"")+IMPORTRANGE(""https://docs.google.com/spreadsheets/d/1c0UfJUA6nE6esVMy0kRcX_PENtt96DMxicQpqi3tips/edit?usp=sharing"","""&amp;"รวมตะวันออกเฉียงเหนือ!J296"")+IMPORTRANGE(""https://docs.google.com/spreadsheets/d/1iNWbYmj0agxPDl_yJgGu1eIremFPVMUuMWUKAjBzvrk/edit?usp=sharing"",""รวมกลาง!J296"")+IMPORTRANGE(""https://docs.google.com/spreadsheets/d/1uenpWDAH2bchvfvsSIjpd4bRU5D1faxJOaE3"&amp;"4GQM5-c/edit?usp=sharing"",""รวมใต้!J296"")"),1014)</f>
        <v>1014</v>
      </c>
      <c r="K296" s="166">
        <f t="shared" ca="1" si="203"/>
        <v>101.4</v>
      </c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</row>
    <row r="297" spans="1:21" ht="19.5" x14ac:dyDescent="0.3">
      <c r="A297" s="152"/>
      <c r="B297" s="153"/>
      <c r="C297" s="153"/>
      <c r="D297" s="159"/>
      <c r="E297" s="284" t="s">
        <v>126</v>
      </c>
      <c r="F297" s="285"/>
      <c r="G297" s="286"/>
      <c r="H297" s="286"/>
      <c r="I297" s="149"/>
      <c r="J297" s="149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</row>
    <row r="298" spans="1:21" ht="19.5" x14ac:dyDescent="0.3">
      <c r="A298" s="152"/>
      <c r="B298" s="153"/>
      <c r="C298" s="153"/>
      <c r="D298" s="159"/>
      <c r="E298" s="284" t="s">
        <v>127</v>
      </c>
      <c r="F298" s="285"/>
      <c r="G298" s="286"/>
      <c r="H298" s="287" t="s">
        <v>35</v>
      </c>
      <c r="I298" s="165">
        <f ca="1">IFERROR(__xludf.DUMMYFUNCTION("IMPORTRANGE(""https://docs.google.com/spreadsheets/d/12pGRKgvn2b31Uz_fjAl3XPzZUM_F2_O-zAHL2XHEPZg/edit?usp=sharing"",""รวมเหนือ!I298"")+IMPORTRANGE(""https://docs.google.com/spreadsheets/d/1c0UfJUA6nE6esVMy0kRcX_PENtt96DMxicQpqi3tips/edit?usp=sharing"","""&amp;"รวมตะวันออกเฉียงเหนือ!I298"")+IMPORTRANGE(""https://docs.google.com/spreadsheets/d/1iNWbYmj0agxPDl_yJgGu1eIremFPVMUuMWUKAjBzvrk/edit?usp=sharing"",""รวมกลาง!I298"")+IMPORTRANGE(""https://docs.google.com/spreadsheets/d/1uenpWDAH2bchvfvsSIjpd4bRU5D1faxJOaE3"&amp;"4GQM5-c/edit?usp=sharing"",""รวมใต้!I298"")"),1000)</f>
        <v>1000</v>
      </c>
      <c r="J298" s="165">
        <f ca="1">IFERROR(__xludf.DUMMYFUNCTION("IMPORTRANGE(""https://docs.google.com/spreadsheets/d/12pGRKgvn2b31Uz_fjAl3XPzZUM_F2_O-zAHL2XHEPZg/edit?usp=sharing"",""รวมเหนือ!J298"")+IMPORTRANGE(""https://docs.google.com/spreadsheets/d/1c0UfJUA6nE6esVMy0kRcX_PENtt96DMxicQpqi3tips/edit?usp=sharing"","""&amp;"รวมตะวันออกเฉียงเหนือ!J298"")+IMPORTRANGE(""https://docs.google.com/spreadsheets/d/1iNWbYmj0agxPDl_yJgGu1eIremFPVMUuMWUKAjBzvrk/edit?usp=sharing"",""รวมกลาง!J298"")+IMPORTRANGE(""https://docs.google.com/spreadsheets/d/1uenpWDAH2bchvfvsSIjpd4bRU5D1faxJOaE3"&amp;"4GQM5-c/edit?usp=sharing"",""รวมใต้!J298"")"),1014)</f>
        <v>1014</v>
      </c>
      <c r="K298" s="166">
        <f t="shared" ref="K298:K299" ca="1" si="204">IF(I298&gt;0,J298*100/I298,0)</f>
        <v>101.4</v>
      </c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</row>
    <row r="299" spans="1:21" ht="19.5" x14ac:dyDescent="0.3">
      <c r="A299" s="256"/>
      <c r="B299" s="257"/>
      <c r="C299" s="257"/>
      <c r="D299" s="259"/>
      <c r="E299" s="284" t="s">
        <v>128</v>
      </c>
      <c r="F299" s="288"/>
      <c r="G299" s="289"/>
      <c r="H299" s="287" t="s">
        <v>35</v>
      </c>
      <c r="I299" s="165">
        <f ca="1">IFERROR(__xludf.DUMMYFUNCTION("IMPORTRANGE(""https://docs.google.com/spreadsheets/d/12pGRKgvn2b31Uz_fjAl3XPzZUM_F2_O-zAHL2XHEPZg/edit?usp=sharing"",""รวมเหนือ!I299"")+IMPORTRANGE(""https://docs.google.com/spreadsheets/d/1c0UfJUA6nE6esVMy0kRcX_PENtt96DMxicQpqi3tips/edit?usp=sharing"","""&amp;"รวมตะวันออกเฉียงเหนือ!I299"")+IMPORTRANGE(""https://docs.google.com/spreadsheets/d/1iNWbYmj0agxPDl_yJgGu1eIremFPVMUuMWUKAjBzvrk/edit?usp=sharing"",""รวมกลาง!I299"")+IMPORTRANGE(""https://docs.google.com/spreadsheets/d/1uenpWDAH2bchvfvsSIjpd4bRU5D1faxJOaE3"&amp;"4GQM5-c/edit?usp=sharing"",""รวมใต้!I299"")"),1000)</f>
        <v>1000</v>
      </c>
      <c r="J299" s="165">
        <f ca="1">IFERROR(__xludf.DUMMYFUNCTION("IMPORTRANGE(""https://docs.google.com/spreadsheets/d/12pGRKgvn2b31Uz_fjAl3XPzZUM_F2_O-zAHL2XHEPZg/edit?usp=sharing"",""รวมเหนือ!J299"")+IMPORTRANGE(""https://docs.google.com/spreadsheets/d/1c0UfJUA6nE6esVMy0kRcX_PENtt96DMxicQpqi3tips/edit?usp=sharing"","""&amp;"รวมตะวันออกเฉียงเหนือ!J299"")+IMPORTRANGE(""https://docs.google.com/spreadsheets/d/1iNWbYmj0agxPDl_yJgGu1eIremFPVMUuMWUKAjBzvrk/edit?usp=sharing"",""รวมกลาง!J299"")+IMPORTRANGE(""https://docs.google.com/spreadsheets/d/1uenpWDAH2bchvfvsSIjpd4bRU5D1faxJOaE3"&amp;"4GQM5-c/edit?usp=sharing"",""รวมใต้!J299"")"),1014)</f>
        <v>1014</v>
      </c>
      <c r="K299" s="166">
        <f t="shared" ca="1" si="204"/>
        <v>101.4</v>
      </c>
      <c r="L299" s="262"/>
      <c r="M299" s="262"/>
      <c r="N299" s="262"/>
      <c r="O299" s="262"/>
      <c r="P299" s="262"/>
      <c r="Q299" s="262"/>
      <c r="R299" s="262"/>
      <c r="S299" s="262"/>
      <c r="T299" s="262"/>
      <c r="U299" s="262"/>
    </row>
    <row r="300" spans="1:21" ht="19.5" x14ac:dyDescent="0.3">
      <c r="A300" s="290" t="s">
        <v>129</v>
      </c>
      <c r="B300" s="291"/>
      <c r="C300" s="291"/>
      <c r="D300" s="291"/>
      <c r="E300" s="292"/>
      <c r="F300" s="292"/>
      <c r="G300" s="292"/>
      <c r="H300" s="292"/>
      <c r="I300" s="293"/>
      <c r="J300" s="293"/>
      <c r="K300" s="294"/>
      <c r="L300" s="294"/>
      <c r="M300" s="294"/>
      <c r="N300" s="294"/>
      <c r="O300" s="294"/>
      <c r="P300" s="295"/>
      <c r="Q300" s="294"/>
      <c r="R300" s="294"/>
      <c r="S300" s="294"/>
      <c r="T300" s="294"/>
      <c r="U300" s="295"/>
    </row>
    <row r="301" spans="1:21" ht="19.5" x14ac:dyDescent="0.3">
      <c r="A301" s="296" t="s">
        <v>130</v>
      </c>
      <c r="B301" s="297"/>
      <c r="C301" s="297"/>
      <c r="D301" s="298"/>
      <c r="E301" s="298"/>
      <c r="F301" s="298"/>
      <c r="G301" s="299"/>
      <c r="H301" s="299"/>
      <c r="I301" s="300"/>
      <c r="J301" s="300"/>
      <c r="K301" s="301"/>
      <c r="L301" s="301"/>
      <c r="M301" s="301"/>
      <c r="N301" s="301"/>
      <c r="O301" s="301"/>
      <c r="P301" s="301"/>
      <c r="Q301" s="301"/>
      <c r="R301" s="301"/>
      <c r="S301" s="301"/>
      <c r="T301" s="301"/>
      <c r="U301" s="301"/>
    </row>
    <row r="302" spans="1:21" ht="19.5" x14ac:dyDescent="0.3">
      <c r="A302" s="302"/>
      <c r="B302" s="303" t="s">
        <v>131</v>
      </c>
      <c r="C302" s="304"/>
      <c r="D302" s="304"/>
      <c r="E302" s="304"/>
      <c r="F302" s="304"/>
      <c r="G302" s="305"/>
      <c r="H302" s="306" t="s">
        <v>35</v>
      </c>
      <c r="I302" s="307">
        <f t="shared" ref="I302:J302" ca="1" si="205">I314</f>
        <v>1500</v>
      </c>
      <c r="J302" s="307">
        <f t="shared" ca="1" si="205"/>
        <v>1500</v>
      </c>
      <c r="K302" s="308">
        <f ca="1">IF(I302&gt;0,J302*100/I302,0)</f>
        <v>100</v>
      </c>
      <c r="L302" s="309"/>
      <c r="M302" s="309"/>
      <c r="N302" s="309"/>
      <c r="O302" s="309"/>
      <c r="P302" s="309"/>
      <c r="Q302" s="309"/>
      <c r="R302" s="309"/>
      <c r="S302" s="309"/>
      <c r="T302" s="309"/>
      <c r="U302" s="309"/>
    </row>
    <row r="303" spans="1:21" ht="19.5" x14ac:dyDescent="0.3">
      <c r="A303" s="142"/>
      <c r="B303" s="36"/>
      <c r="C303" s="143" t="s">
        <v>18</v>
      </c>
      <c r="D303" s="144" t="s">
        <v>19</v>
      </c>
      <c r="E303" s="36"/>
      <c r="F303" s="36"/>
      <c r="G303" s="38"/>
      <c r="H303" s="145" t="s">
        <v>14</v>
      </c>
      <c r="I303" s="40"/>
      <c r="J303" s="40"/>
      <c r="K303" s="41"/>
      <c r="L303" s="146">
        <f t="shared" ref="L303:N303" ca="1" si="206">L304+L305</f>
        <v>8136100</v>
      </c>
      <c r="M303" s="146">
        <f t="shared" ca="1" si="206"/>
        <v>8136100</v>
      </c>
      <c r="N303" s="146">
        <f t="shared" ca="1" si="206"/>
        <v>8122174.25</v>
      </c>
      <c r="O303" s="146">
        <f t="shared" ref="O303:O311" ca="1" si="207">IF(L303&gt;0,N303*100/L303,0)</f>
        <v>99.828839984759284</v>
      </c>
      <c r="P303" s="146">
        <f t="shared" ref="P303:P311" ca="1" si="208">IF(M303&gt;0,N303*100/M303,0)</f>
        <v>99.828839984759284</v>
      </c>
      <c r="Q303" s="146">
        <f t="shared" ref="Q303:S303" ca="1" si="209">Q304+Q305</f>
        <v>16914500</v>
      </c>
      <c r="R303" s="146">
        <f t="shared" ca="1" si="209"/>
        <v>16914500</v>
      </c>
      <c r="S303" s="146">
        <f t="shared" ca="1" si="209"/>
        <v>11258450.43</v>
      </c>
      <c r="T303" s="146">
        <f t="shared" ref="T303:T311" ca="1" si="210">IF(Q303&gt;0,S303*100/Q303,0)</f>
        <v>66.5609413816548</v>
      </c>
      <c r="U303" s="146">
        <f t="shared" ref="U303:U311" ca="1" si="211">IF(R303&gt;0,S303*100/R303,0)</f>
        <v>66.5609413816548</v>
      </c>
    </row>
    <row r="304" spans="1:21" ht="18.75" x14ac:dyDescent="0.25">
      <c r="A304" s="142"/>
      <c r="B304" s="36"/>
      <c r="C304" s="36"/>
      <c r="D304" s="36"/>
      <c r="E304" s="43" t="s">
        <v>20</v>
      </c>
      <c r="F304" s="36"/>
      <c r="G304" s="38"/>
      <c r="H304" s="147" t="s">
        <v>14</v>
      </c>
      <c r="I304" s="40"/>
      <c r="J304" s="40"/>
      <c r="K304" s="41"/>
      <c r="L304" s="42">
        <f t="shared" ref="L304:N304" ca="1" si="212">L307+L310</f>
        <v>2442800</v>
      </c>
      <c r="M304" s="42">
        <f t="shared" ca="1" si="212"/>
        <v>1678710</v>
      </c>
      <c r="N304" s="42">
        <f t="shared" ca="1" si="212"/>
        <v>1664784.25</v>
      </c>
      <c r="O304" s="42">
        <f t="shared" ca="1" si="207"/>
        <v>68.150657032913045</v>
      </c>
      <c r="P304" s="42">
        <f t="shared" ca="1" si="208"/>
        <v>99.170449333118881</v>
      </c>
      <c r="Q304" s="42">
        <f ca="1">IFERROR(__xludf.DUMMYFUNCTION("IMPORTRANGE(""https://docs.google.com/spreadsheets/d/1ItG2mGa2ceCfYo0BwxsXqNm01IGEUdYcSSLTEv9YCik/edit?usp=sharing"",""เบิกจ่ายกองทุน!BB11"")"),4752570.09)</f>
        <v>4752570.09</v>
      </c>
      <c r="R304" s="42">
        <f ca="1">IFERROR(__xludf.DUMMYFUNCTION("IMPORTRANGE(""https://docs.google.com/spreadsheets/d/1ItG2mGa2ceCfYo0BwxsXqNm01IGEUdYcSSLTEv9YCik/edit?usp=sharing"",""เบิกจ่ายกองทุน!BC11"")"),4314786)</f>
        <v>4314786</v>
      </c>
      <c r="S304" s="42">
        <f ca="1">IFERROR(__xludf.DUMMYFUNCTION("IMPORTRANGE(""https://docs.google.com/spreadsheets/d/1ItG2mGa2ceCfYo0BwxsXqNm01IGEUdYcSSLTEv9YCik/edit?usp=sharing"",""เบิกจ่ายกองทุน!BD11"")"),29411.34)</f>
        <v>29411.34</v>
      </c>
      <c r="T304" s="42">
        <f t="shared" ca="1" si="210"/>
        <v>0.61885126243345945</v>
      </c>
      <c r="U304" s="42">
        <f t="shared" ca="1" si="211"/>
        <v>0.68164075808162905</v>
      </c>
    </row>
    <row r="305" spans="1:21" ht="18.75" x14ac:dyDescent="0.25">
      <c r="A305" s="142"/>
      <c r="B305" s="36"/>
      <c r="C305" s="36"/>
      <c r="D305" s="36"/>
      <c r="E305" s="43" t="s">
        <v>21</v>
      </c>
      <c r="F305" s="36"/>
      <c r="G305" s="38"/>
      <c r="H305" s="147" t="s">
        <v>14</v>
      </c>
      <c r="I305" s="40"/>
      <c r="J305" s="40"/>
      <c r="K305" s="41"/>
      <c r="L305" s="42">
        <f t="shared" ref="L305:N305" ca="1" si="213">L308+L311</f>
        <v>5693300</v>
      </c>
      <c r="M305" s="42">
        <f t="shared" ca="1" si="213"/>
        <v>6457390</v>
      </c>
      <c r="N305" s="42">
        <f t="shared" ca="1" si="213"/>
        <v>6457390</v>
      </c>
      <c r="O305" s="42">
        <f t="shared" ca="1" si="207"/>
        <v>113.42086311980749</v>
      </c>
      <c r="P305" s="42">
        <f t="shared" ca="1" si="208"/>
        <v>100</v>
      </c>
      <c r="Q305" s="42">
        <f ca="1">IFERROR(__xludf.DUMMYFUNCTION("IMPORTRANGE(""https://docs.google.com/spreadsheets/d/12pGRKgvn2b31Uz_fjAl3XPzZUM_F2_O-zAHL2XHEPZg/edit?usp=sharing"",""รวมเหนือ!Q308"")+IMPORTRANGE(""https://docs.google.com/spreadsheets/d/1c0UfJUA6nE6esVMy0kRcX_PENtt96DMxicQpqi3tips/edit?usp=sharing"","""&amp;"รวมตะวันออกเฉียงเหนือ!Q308"")+IMPORTRANGE(""https://docs.google.com/spreadsheets/d/1iNWbYmj0agxPDl_yJgGu1eIremFPVMUuMWUKAjBzvrk/edit?usp=sharing"",""รวมกลาง!Q308"")+IMPORTRANGE(""https://docs.google.com/spreadsheets/d/1uenpWDAH2bchvfvsSIjpd4bRU5D1faxJOaE3"&amp;"4GQM5-c/edit?usp=sharing"",""รวมใต้!Q308"")"),12161929.91)</f>
        <v>12161929.91</v>
      </c>
      <c r="R305" s="42">
        <f ca="1">IFERROR(__xludf.DUMMYFUNCTION("IMPORTRANGE(""https://docs.google.com/spreadsheets/d/12pGRKgvn2b31Uz_fjAl3XPzZUM_F2_O-zAHL2XHEPZg/edit?usp=sharing"",""รวมเหนือ!R308"")+IMPORTRANGE(""https://docs.google.com/spreadsheets/d/1c0UfJUA6nE6esVMy0kRcX_PENtt96DMxicQpqi3tips/edit?usp=sharing"","""&amp;"รวมตะวันออกเฉียงเหนือ!R308"")+IMPORTRANGE(""https://docs.google.com/spreadsheets/d/1iNWbYmj0agxPDl_yJgGu1eIremFPVMUuMWUKAjBzvrk/edit?usp=sharing"",""รวมกลาง!R308"")+IMPORTRANGE(""https://docs.google.com/spreadsheets/d/1uenpWDAH2bchvfvsSIjpd4bRU5D1faxJOaE3"&amp;"4GQM5-c/edit?usp=sharing"",""รวมใต้!R308"")"),12599714)</f>
        <v>12599714</v>
      </c>
      <c r="S305" s="42">
        <f ca="1">IFERROR(__xludf.DUMMYFUNCTION("IMPORTRANGE(""https://docs.google.com/spreadsheets/d/12pGRKgvn2b31Uz_fjAl3XPzZUM_F2_O-zAHL2XHEPZg/edit?usp=sharing"",""รวมเหนือ!S308"")+IMPORTRANGE(""https://docs.google.com/spreadsheets/d/1c0UfJUA6nE6esVMy0kRcX_PENtt96DMxicQpqi3tips/edit?usp=sharing"","""&amp;"รวมตะวันออกเฉียงเหนือ!S308"")+IMPORTRANGE(""https://docs.google.com/spreadsheets/d/1iNWbYmj0agxPDl_yJgGu1eIremFPVMUuMWUKAjBzvrk/edit?usp=sharing"",""รวมกลาง!S308"")+IMPORTRANGE(""https://docs.google.com/spreadsheets/d/1uenpWDAH2bchvfvsSIjpd4bRU5D1faxJOaE3"&amp;"4GQM5-c/edit?usp=sharing"",""รวมใต้!S308"")"),11229039.09)</f>
        <v>11229039.09</v>
      </c>
      <c r="T305" s="42">
        <f t="shared" ca="1" si="210"/>
        <v>92.32941788923695</v>
      </c>
      <c r="U305" s="42">
        <f t="shared" ca="1" si="211"/>
        <v>89.121380771023851</v>
      </c>
    </row>
    <row r="306" spans="1:21" ht="18.75" x14ac:dyDescent="0.25">
      <c r="A306" s="142"/>
      <c r="B306" s="36"/>
      <c r="C306" s="36"/>
      <c r="D306" s="37" t="s">
        <v>22</v>
      </c>
      <c r="E306" s="36"/>
      <c r="F306" s="36"/>
      <c r="G306" s="38"/>
      <c r="H306" s="148" t="s">
        <v>14</v>
      </c>
      <c r="I306" s="149"/>
      <c r="J306" s="149"/>
      <c r="K306" s="150"/>
      <c r="L306" s="42">
        <f t="shared" ref="L306:N306" ca="1" si="214">L307+L308</f>
        <v>8136100</v>
      </c>
      <c r="M306" s="42">
        <f t="shared" ca="1" si="214"/>
        <v>8136100</v>
      </c>
      <c r="N306" s="42">
        <f t="shared" ca="1" si="214"/>
        <v>8122174.25</v>
      </c>
      <c r="O306" s="42">
        <f t="shared" ca="1" si="207"/>
        <v>99.828839984759284</v>
      </c>
      <c r="P306" s="42">
        <f t="shared" ca="1" si="208"/>
        <v>99.828839984759284</v>
      </c>
      <c r="Q306" s="42">
        <f t="shared" ref="Q306:S306" si="215">Q307+Q308</f>
        <v>0</v>
      </c>
      <c r="R306" s="42">
        <f t="shared" si="215"/>
        <v>0</v>
      </c>
      <c r="S306" s="42">
        <f t="shared" si="215"/>
        <v>0</v>
      </c>
      <c r="T306" s="42">
        <f t="shared" si="210"/>
        <v>0</v>
      </c>
      <c r="U306" s="42">
        <f t="shared" si="211"/>
        <v>0</v>
      </c>
    </row>
    <row r="307" spans="1:21" ht="18.75" x14ac:dyDescent="0.25">
      <c r="A307" s="142"/>
      <c r="B307" s="36"/>
      <c r="C307" s="36"/>
      <c r="D307" s="36"/>
      <c r="E307" s="43" t="s">
        <v>36</v>
      </c>
      <c r="F307" s="36"/>
      <c r="G307" s="38"/>
      <c r="H307" s="148" t="s">
        <v>14</v>
      </c>
      <c r="I307" s="149"/>
      <c r="J307" s="149"/>
      <c r="K307" s="150"/>
      <c r="L307" s="42">
        <f ca="1">IFERROR(__xludf.DUMMYFUNCTION("IMPORTRANGE(""https://docs.google.com/spreadsheets/d/1-uDff_7J0KD5mKrp0Vvzr7lt3OU09vwQwhkpOPPYv2Y/edit?usp=sharing"",""งบพรบ!DY9"")"),2442800)</f>
        <v>2442800</v>
      </c>
      <c r="M307" s="42">
        <f ca="1">IFERROR(__xludf.DUMMYFUNCTION("IMPORTRANGE(""https://docs.google.com/spreadsheets/d/1-uDff_7J0KD5mKrp0Vvzr7lt3OU09vwQwhkpOPPYv2Y/edit?usp=sharing"",""งบพรบ!ED9"")"),1678710)</f>
        <v>1678710</v>
      </c>
      <c r="N307" s="42">
        <f ca="1">IFERROR(__xludf.DUMMYFUNCTION("IMPORTRANGE(""https://docs.google.com/spreadsheets/d/1-uDff_7J0KD5mKrp0Vvzr7lt3OU09vwQwhkpOPPYv2Y/edit?usp=sharing"",""งบพรบ!EF9"")"),1664784.25)</f>
        <v>1664784.25</v>
      </c>
      <c r="O307" s="42">
        <f t="shared" ca="1" si="207"/>
        <v>68.150657032913045</v>
      </c>
      <c r="P307" s="42">
        <f t="shared" ca="1" si="208"/>
        <v>99.170449333118881</v>
      </c>
      <c r="Q307" s="42">
        <v>0</v>
      </c>
      <c r="R307" s="42">
        <v>0</v>
      </c>
      <c r="S307" s="42">
        <v>0</v>
      </c>
      <c r="T307" s="42">
        <f t="shared" si="210"/>
        <v>0</v>
      </c>
      <c r="U307" s="42">
        <f t="shared" si="211"/>
        <v>0</v>
      </c>
    </row>
    <row r="308" spans="1:21" ht="18.75" x14ac:dyDescent="0.25">
      <c r="A308" s="142"/>
      <c r="B308" s="36"/>
      <c r="C308" s="36"/>
      <c r="D308" s="36"/>
      <c r="E308" s="43" t="s">
        <v>37</v>
      </c>
      <c r="F308" s="36"/>
      <c r="G308" s="38"/>
      <c r="H308" s="148" t="s">
        <v>14</v>
      </c>
      <c r="I308" s="149"/>
      <c r="J308" s="149"/>
      <c r="K308" s="150"/>
      <c r="L308" s="42">
        <f ca="1">IFERROR(__xludf.DUMMYFUNCTION("IMPORTRANGE(""https://docs.google.com/spreadsheets/d/12pGRKgvn2b31Uz_fjAl3XPzZUM_F2_O-zAHL2XHEPZg/edit?usp=sharing"",""รวมเหนือ!L308"")+IMPORTRANGE(""https://docs.google.com/spreadsheets/d/1c0UfJUA6nE6esVMy0kRcX_PENtt96DMxicQpqi3tips/edit?usp=sharing"","""&amp;"รวมตะวันออกเฉียงเหนือ!L308"")+IMPORTRANGE(""https://docs.google.com/spreadsheets/d/1iNWbYmj0agxPDl_yJgGu1eIremFPVMUuMWUKAjBzvrk/edit?usp=sharing"",""รวมกลาง!L308"")+IMPORTRANGE(""https://docs.google.com/spreadsheets/d/1uenpWDAH2bchvfvsSIjpd4bRU5D1faxJOaE3"&amp;"4GQM5-c/edit?usp=sharing"",""รวมใต้!L308"")"),5693300)</f>
        <v>5693300</v>
      </c>
      <c r="M308" s="42">
        <f ca="1">IFERROR(__xludf.DUMMYFUNCTION("IMPORTRANGE(""https://docs.google.com/spreadsheets/d/12pGRKgvn2b31Uz_fjAl3XPzZUM_F2_O-zAHL2XHEPZg/edit?usp=sharing"",""รวมเหนือ!M308"")+IMPORTRANGE(""https://docs.google.com/spreadsheets/d/1c0UfJUA6nE6esVMy0kRcX_PENtt96DMxicQpqi3tips/edit?usp=sharing"","""&amp;"รวมตะวันออกเฉียงเหนือ!M308"")+IMPORTRANGE(""https://docs.google.com/spreadsheets/d/1iNWbYmj0agxPDl_yJgGu1eIremFPVMUuMWUKAjBzvrk/edit?usp=sharing"",""รวมกลาง!M308"")+IMPORTRANGE(""https://docs.google.com/spreadsheets/d/1uenpWDAH2bchvfvsSIjpd4bRU5D1faxJOaE3"&amp;"4GQM5-c/edit?usp=sharing"",""รวมใต้!M308"")"),6457390)</f>
        <v>6457390</v>
      </c>
      <c r="N308" s="42">
        <f ca="1">IFERROR(__xludf.DUMMYFUNCTION("IMPORTRANGE(""https://docs.google.com/spreadsheets/d/12pGRKgvn2b31Uz_fjAl3XPzZUM_F2_O-zAHL2XHEPZg/edit?usp=sharing"",""รวมเหนือ!N308"")+IMPORTRANGE(""https://docs.google.com/spreadsheets/d/1c0UfJUA6nE6esVMy0kRcX_PENtt96DMxicQpqi3tips/edit?usp=sharing"","""&amp;"รวมตะวันออกเฉียงเหนือ!N308"")+IMPORTRANGE(""https://docs.google.com/spreadsheets/d/1iNWbYmj0agxPDl_yJgGu1eIremFPVMUuMWUKAjBzvrk/edit?usp=sharing"",""รวมกลาง!N308"")+IMPORTRANGE(""https://docs.google.com/spreadsheets/d/1uenpWDAH2bchvfvsSIjpd4bRU5D1faxJOaE3"&amp;"4GQM5-c/edit?usp=sharing"",""รวมใต้!N308"")"),6457390)</f>
        <v>6457390</v>
      </c>
      <c r="O308" s="42">
        <f t="shared" ca="1" si="207"/>
        <v>113.42086311980749</v>
      </c>
      <c r="P308" s="42">
        <f t="shared" ca="1" si="208"/>
        <v>100</v>
      </c>
      <c r="Q308" s="42">
        <v>0</v>
      </c>
      <c r="R308" s="42">
        <v>0</v>
      </c>
      <c r="S308" s="42">
        <v>0</v>
      </c>
      <c r="T308" s="42">
        <f t="shared" si="210"/>
        <v>0</v>
      </c>
      <c r="U308" s="42">
        <f t="shared" si="211"/>
        <v>0</v>
      </c>
    </row>
    <row r="309" spans="1:21" ht="18.75" x14ac:dyDescent="0.25">
      <c r="A309" s="142"/>
      <c r="B309" s="36"/>
      <c r="C309" s="36"/>
      <c r="D309" s="37" t="s">
        <v>23</v>
      </c>
      <c r="E309" s="36"/>
      <c r="F309" s="36"/>
      <c r="G309" s="38"/>
      <c r="H309" s="151" t="s">
        <v>14</v>
      </c>
      <c r="I309" s="149"/>
      <c r="J309" s="149"/>
      <c r="K309" s="150"/>
      <c r="L309" s="42">
        <f t="shared" ref="L309:N309" ca="1" si="216">L310+L311</f>
        <v>0</v>
      </c>
      <c r="M309" s="42">
        <f t="shared" ca="1" si="216"/>
        <v>0</v>
      </c>
      <c r="N309" s="42">
        <f t="shared" ca="1" si="216"/>
        <v>0</v>
      </c>
      <c r="O309" s="42">
        <f t="shared" ca="1" si="207"/>
        <v>0</v>
      </c>
      <c r="P309" s="42">
        <f t="shared" ca="1" si="208"/>
        <v>0</v>
      </c>
      <c r="Q309" s="42">
        <f t="shared" ref="Q309:S309" ca="1" si="217">Q310+Q311</f>
        <v>0</v>
      </c>
      <c r="R309" s="42">
        <f t="shared" ca="1" si="217"/>
        <v>0</v>
      </c>
      <c r="S309" s="42">
        <f t="shared" ca="1" si="217"/>
        <v>0</v>
      </c>
      <c r="T309" s="42">
        <f t="shared" ca="1" si="210"/>
        <v>0</v>
      </c>
      <c r="U309" s="42">
        <f t="shared" ca="1" si="211"/>
        <v>0</v>
      </c>
    </row>
    <row r="310" spans="1:21" ht="18.75" x14ac:dyDescent="0.25">
      <c r="A310" s="142"/>
      <c r="B310" s="36"/>
      <c r="C310" s="36"/>
      <c r="D310" s="36"/>
      <c r="E310" s="43" t="s">
        <v>20</v>
      </c>
      <c r="F310" s="36"/>
      <c r="G310" s="38"/>
      <c r="H310" s="148" t="s">
        <v>14</v>
      </c>
      <c r="I310" s="149"/>
      <c r="J310" s="149"/>
      <c r="K310" s="150"/>
      <c r="L310" s="42">
        <f ca="1">IFERROR(__xludf.DUMMYFUNCTION("IMPORTRANGE(""https://docs.google.com/spreadsheets/d/12pGRKgvn2b31Uz_fjAl3XPzZUM_F2_O-zAHL2XHEPZg/edit?usp=sharing"",""รวมเหนือ!L310"")+IMPORTRANGE(""https://docs.google.com/spreadsheets/d/1c0UfJUA6nE6esVMy0kRcX_PENtt96DMxicQpqi3tips/edit?usp=sharing"","""&amp;"รวมตะวันออกเฉียงเหนือ!L310"")+IMPORTRANGE(""https://docs.google.com/spreadsheets/d/1iNWbYmj0agxPDl_yJgGu1eIremFPVMUuMWUKAjBzvrk/edit?usp=sharing"",""รวมกลาง!L310"")+IMPORTRANGE(""https://docs.google.com/spreadsheets/d/1uenpWDAH2bchvfvsSIjpd4bRU5D1faxJOaE3"&amp;"4GQM5-c/edit?usp=sharing"",""รวมใต้!L310"")"),0)</f>
        <v>0</v>
      </c>
      <c r="M310" s="42">
        <f ca="1">IFERROR(__xludf.DUMMYFUNCTION("IMPORTRANGE(""https://docs.google.com/spreadsheets/d/12pGRKgvn2b31Uz_fjAl3XPzZUM_F2_O-zAHL2XHEPZg/edit?usp=sharing"",""รวมเหนือ!M310"")+IMPORTRANGE(""https://docs.google.com/spreadsheets/d/1c0UfJUA6nE6esVMy0kRcX_PENtt96DMxicQpqi3tips/edit?usp=sharing"","""&amp;"รวมตะวันออกเฉียงเหนือ!M310"")+IMPORTRANGE(""https://docs.google.com/spreadsheets/d/1iNWbYmj0agxPDl_yJgGu1eIremFPVMUuMWUKAjBzvrk/edit?usp=sharing"",""รวมกลาง!M310"")+IMPORTRANGE(""https://docs.google.com/spreadsheets/d/1uenpWDAH2bchvfvsSIjpd4bRU5D1faxJOaE3"&amp;"4GQM5-c/edit?usp=sharing"",""รวมใต้!M310"")"),0)</f>
        <v>0</v>
      </c>
      <c r="N310" s="42">
        <f ca="1">IFERROR(__xludf.DUMMYFUNCTION("IMPORTRANGE(""https://docs.google.com/spreadsheets/d/12pGRKgvn2b31Uz_fjAl3XPzZUM_F2_O-zAHL2XHEPZg/edit?usp=sharing"",""รวมเหนือ!N310"")+IMPORTRANGE(""https://docs.google.com/spreadsheets/d/1c0UfJUA6nE6esVMy0kRcX_PENtt96DMxicQpqi3tips/edit?usp=sharing"","""&amp;"รวมตะวันออกเฉียงเหนือ!N310"")+IMPORTRANGE(""https://docs.google.com/spreadsheets/d/1iNWbYmj0agxPDl_yJgGu1eIremFPVMUuMWUKAjBzvrk/edit?usp=sharing"",""รวมกลาง!N310"")+IMPORTRANGE(""https://docs.google.com/spreadsheets/d/1uenpWDAH2bchvfvsSIjpd4bRU5D1faxJOaE3"&amp;"4GQM5-c/edit?usp=sharing"",""รวมใต้!N310"")"),0)</f>
        <v>0</v>
      </c>
      <c r="O310" s="42">
        <f t="shared" ca="1" si="207"/>
        <v>0</v>
      </c>
      <c r="P310" s="42">
        <f t="shared" ca="1" si="208"/>
        <v>0</v>
      </c>
      <c r="Q310" s="42">
        <v>0</v>
      </c>
      <c r="R310" s="42">
        <v>0</v>
      </c>
      <c r="S310" s="42">
        <v>0</v>
      </c>
      <c r="T310" s="42">
        <f t="shared" si="210"/>
        <v>0</v>
      </c>
      <c r="U310" s="42">
        <f t="shared" si="211"/>
        <v>0</v>
      </c>
    </row>
    <row r="311" spans="1:21" ht="18.75" x14ac:dyDescent="0.25">
      <c r="A311" s="142"/>
      <c r="B311" s="36"/>
      <c r="C311" s="36"/>
      <c r="D311" s="36"/>
      <c r="E311" s="43" t="s">
        <v>21</v>
      </c>
      <c r="F311" s="36"/>
      <c r="G311" s="38"/>
      <c r="H311" s="151" t="s">
        <v>14</v>
      </c>
      <c r="I311" s="149"/>
      <c r="J311" s="149"/>
      <c r="K311" s="150"/>
      <c r="L311" s="42">
        <f ca="1">IFERROR(__xludf.DUMMYFUNCTION("IMPORTRANGE(""https://docs.google.com/spreadsheets/d/12pGRKgvn2b31Uz_fjAl3XPzZUM_F2_O-zAHL2XHEPZg/edit?usp=sharing"",""รวมเหนือ!L311"")+IMPORTRANGE(""https://docs.google.com/spreadsheets/d/1c0UfJUA6nE6esVMy0kRcX_PENtt96DMxicQpqi3tips/edit?usp=sharing"","""&amp;"รวมตะวันออกเฉียงเหนือ!L311"")+IMPORTRANGE(""https://docs.google.com/spreadsheets/d/1iNWbYmj0agxPDl_yJgGu1eIremFPVMUuMWUKAjBzvrk/edit?usp=sharing"",""รวมกลาง!L311"")+IMPORTRANGE(""https://docs.google.com/spreadsheets/d/1uenpWDAH2bchvfvsSIjpd4bRU5D1faxJOaE3"&amp;"4GQM5-c/edit?usp=sharing"",""รวมใต้!L311"")"),0)</f>
        <v>0</v>
      </c>
      <c r="M311" s="42">
        <f ca="1">IFERROR(__xludf.DUMMYFUNCTION("IMPORTRANGE(""https://docs.google.com/spreadsheets/d/12pGRKgvn2b31Uz_fjAl3XPzZUM_F2_O-zAHL2XHEPZg/edit?usp=sharing"",""รวมเหนือ!M311"")+IMPORTRANGE(""https://docs.google.com/spreadsheets/d/1c0UfJUA6nE6esVMy0kRcX_PENtt96DMxicQpqi3tips/edit?usp=sharing"","""&amp;"รวมตะวันออกเฉียงเหนือ!M311"")+IMPORTRANGE(""https://docs.google.com/spreadsheets/d/1iNWbYmj0agxPDl_yJgGu1eIremFPVMUuMWUKAjBzvrk/edit?usp=sharing"",""รวมกลาง!M311"")+IMPORTRANGE(""https://docs.google.com/spreadsheets/d/1uenpWDAH2bchvfvsSIjpd4bRU5D1faxJOaE3"&amp;"4GQM5-c/edit?usp=sharing"",""รวมใต้!M311"")"),0)</f>
        <v>0</v>
      </c>
      <c r="N311" s="42">
        <f ca="1">IFERROR(__xludf.DUMMYFUNCTION("IMPORTRANGE(""https://docs.google.com/spreadsheets/d/12pGRKgvn2b31Uz_fjAl3XPzZUM_F2_O-zAHL2XHEPZg/edit?usp=sharing"",""รวมเหนือ!N311"")+IMPORTRANGE(""https://docs.google.com/spreadsheets/d/1c0UfJUA6nE6esVMy0kRcX_PENtt96DMxicQpqi3tips/edit?usp=sharing"","""&amp;"รวมตะวันออกเฉียงเหนือ!N311"")+IMPORTRANGE(""https://docs.google.com/spreadsheets/d/1iNWbYmj0agxPDl_yJgGu1eIremFPVMUuMWUKAjBzvrk/edit?usp=sharing"",""รวมกลาง!N311"")+IMPORTRANGE(""https://docs.google.com/spreadsheets/d/1uenpWDAH2bchvfvsSIjpd4bRU5D1faxJOaE3"&amp;"4GQM5-c/edit?usp=sharing"",""รวมใต้!N311"")"),0)</f>
        <v>0</v>
      </c>
      <c r="O311" s="42">
        <f t="shared" ca="1" si="207"/>
        <v>0</v>
      </c>
      <c r="P311" s="42">
        <f t="shared" ca="1" si="208"/>
        <v>0</v>
      </c>
      <c r="Q311" s="42">
        <f ca="1">IFERROR(__xludf.DUMMYFUNCTION("IMPORTRANGE(""https://docs.google.com/spreadsheets/d/12pGRKgvn2b31Uz_fjAl3XPzZUM_F2_O-zAHL2XHEPZg/edit?usp=sharing"",""รวมเหนือ!Q311"")+IMPORTRANGE(""https://docs.google.com/spreadsheets/d/1c0UfJUA6nE6esVMy0kRcX_PENtt96DMxicQpqi3tips/edit?usp=sharing"","""&amp;"รวมตะวันออกเฉียงเหนือ!Q311"")+IMPORTRANGE(""https://docs.google.com/spreadsheets/d/1iNWbYmj0agxPDl_yJgGu1eIremFPVMUuMWUKAjBzvrk/edit?usp=sharing"",""รวมกลาง!Q311"")+IMPORTRANGE(""https://docs.google.com/spreadsheets/d/1uenpWDAH2bchvfvsSIjpd4bRU5D1faxJOaE3"&amp;"4GQM5-c/edit?usp=sharing"",""รวมใต้!Q311"")"),0)</f>
        <v>0</v>
      </c>
      <c r="R311" s="42">
        <f ca="1">IFERROR(__xludf.DUMMYFUNCTION("IMPORTRANGE(""https://docs.google.com/spreadsheets/d/12pGRKgvn2b31Uz_fjAl3XPzZUM_F2_O-zAHL2XHEPZg/edit?usp=sharing"",""รวมเหนือ!R311"")+IMPORTRANGE(""https://docs.google.com/spreadsheets/d/1c0UfJUA6nE6esVMy0kRcX_PENtt96DMxicQpqi3tips/edit?usp=sharing"","""&amp;"รวมตะวันออกเฉียงเหนือ!R311"")+IMPORTRANGE(""https://docs.google.com/spreadsheets/d/1iNWbYmj0agxPDl_yJgGu1eIremFPVMUuMWUKAjBzvrk/edit?usp=sharing"",""รวมกลาง!R311"")+IMPORTRANGE(""https://docs.google.com/spreadsheets/d/1uenpWDAH2bchvfvsSIjpd4bRU5D1faxJOaE3"&amp;"4GQM5-c/edit?usp=sharing"",""รวมใต้!R311"")"),0)</f>
        <v>0</v>
      </c>
      <c r="S311" s="42">
        <f ca="1">IFERROR(__xludf.DUMMYFUNCTION("IMPORTRANGE(""https://docs.google.com/spreadsheets/d/12pGRKgvn2b31Uz_fjAl3XPzZUM_F2_O-zAHL2XHEPZg/edit?usp=sharing"",""รวมเหนือ!S311"")+IMPORTRANGE(""https://docs.google.com/spreadsheets/d/1c0UfJUA6nE6esVMy0kRcX_PENtt96DMxicQpqi3tips/edit?usp=sharing"","""&amp;"รวมตะวันออกเฉียงเหนือ!S311"")+IMPORTRANGE(""https://docs.google.com/spreadsheets/d/1iNWbYmj0agxPDl_yJgGu1eIremFPVMUuMWUKAjBzvrk/edit?usp=sharing"",""รวมกลาง!S311"")+IMPORTRANGE(""https://docs.google.com/spreadsheets/d/1uenpWDAH2bchvfvsSIjpd4bRU5D1faxJOaE3"&amp;"4GQM5-c/edit?usp=sharing"",""รวมใต้!S311"")"),0)</f>
        <v>0</v>
      </c>
      <c r="T311" s="42">
        <f t="shared" ca="1" si="210"/>
        <v>0</v>
      </c>
      <c r="U311" s="42">
        <f t="shared" ca="1" si="211"/>
        <v>0</v>
      </c>
    </row>
    <row r="312" spans="1:21" ht="19.5" x14ac:dyDescent="0.3">
      <c r="A312" s="152"/>
      <c r="B312" s="153"/>
      <c r="C312" s="143" t="s">
        <v>18</v>
      </c>
      <c r="D312" s="154" t="s">
        <v>38</v>
      </c>
      <c r="E312" s="155"/>
      <c r="F312" s="155"/>
      <c r="G312" s="156"/>
      <c r="H312" s="157"/>
      <c r="I312" s="40"/>
      <c r="J312" s="40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</row>
    <row r="313" spans="1:21" ht="18.75" hidden="1" x14ac:dyDescent="0.25">
      <c r="A313" s="172"/>
      <c r="B313" s="173"/>
      <c r="C313" s="173"/>
      <c r="D313" s="310"/>
      <c r="E313" s="59"/>
      <c r="F313" s="59"/>
      <c r="G313" s="60"/>
      <c r="H313" s="60"/>
      <c r="I313" s="61"/>
      <c r="J313" s="311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</row>
    <row r="314" spans="1:21" ht="18.75" x14ac:dyDescent="0.25">
      <c r="A314" s="152"/>
      <c r="B314" s="153"/>
      <c r="C314" s="153"/>
      <c r="D314" s="163" t="s">
        <v>122</v>
      </c>
      <c r="E314" s="159"/>
      <c r="F314" s="159"/>
      <c r="G314" s="157"/>
      <c r="H314" s="164" t="s">
        <v>35</v>
      </c>
      <c r="I314" s="176">
        <f ca="1">IFERROR(__xludf.DUMMYFUNCTION("IMPORTRANGE(""https://docs.google.com/spreadsheets/d/12pGRKgvn2b31Uz_fjAl3XPzZUM_F2_O-zAHL2XHEPZg/edit?usp=sharing"",""รวมเหนือ!I314"")+IMPORTRANGE(""https://docs.google.com/spreadsheets/d/1c0UfJUA6nE6esVMy0kRcX_PENtt96DMxicQpqi3tips/edit?usp=sharing"","""&amp;"รวมตะวันออกเฉียงเหนือ!I314"")+IMPORTRANGE(""https://docs.google.com/spreadsheets/d/1iNWbYmj0agxPDl_yJgGu1eIremFPVMUuMWUKAjBzvrk/edit?usp=sharing"",""รวมกลาง!I314"")+IMPORTRANGE(""https://docs.google.com/spreadsheets/d/1uenpWDAH2bchvfvsSIjpd4bRU5D1faxJOaE3"&amp;"4GQM5-c/edit?usp=sharing"",""รวมใต้!I314"")"),1500)</f>
        <v>1500</v>
      </c>
      <c r="J314" s="176">
        <f ca="1">IFERROR(__xludf.DUMMYFUNCTION("IMPORTRANGE(""https://docs.google.com/spreadsheets/d/12pGRKgvn2b31Uz_fjAl3XPzZUM_F2_O-zAHL2XHEPZg/edit?usp=sharing"",""รวมเหนือ!J314"")+IMPORTRANGE(""https://docs.google.com/spreadsheets/d/1c0UfJUA6nE6esVMy0kRcX_PENtt96DMxicQpqi3tips/edit?usp=sharing"","""&amp;"รวมตะวันออกเฉียงเหนือ!J314"")+IMPORTRANGE(""https://docs.google.com/spreadsheets/d/1iNWbYmj0agxPDl_yJgGu1eIremFPVMUuMWUKAjBzvrk/edit?usp=sharing"",""รวมกลาง!J314"")+IMPORTRANGE(""https://docs.google.com/spreadsheets/d/1uenpWDAH2bchvfvsSIjpd4bRU5D1faxJOaE3"&amp;"4GQM5-c/edit?usp=sharing"",""รวมใต้!J314"")"),1500)</f>
        <v>1500</v>
      </c>
      <c r="K314" s="42">
        <f ca="1">IF(I314&gt;0,J314*100/I314,0)</f>
        <v>100</v>
      </c>
      <c r="L314" s="41"/>
      <c r="M314" s="41"/>
      <c r="N314" s="41"/>
      <c r="O314" s="41"/>
      <c r="P314" s="41"/>
      <c r="Q314" s="41"/>
      <c r="R314" s="41"/>
      <c r="S314" s="41"/>
      <c r="T314" s="41"/>
      <c r="U314" s="41"/>
    </row>
    <row r="315" spans="1:21" ht="18.75" hidden="1" x14ac:dyDescent="0.25">
      <c r="A315" s="172"/>
      <c r="B315" s="173"/>
      <c r="C315" s="173"/>
      <c r="D315" s="310"/>
      <c r="E315" s="59"/>
      <c r="F315" s="59"/>
      <c r="G315" s="60"/>
      <c r="H315" s="312"/>
      <c r="I315" s="311"/>
      <c r="J315" s="311"/>
      <c r="K315" s="313"/>
      <c r="L315" s="62"/>
      <c r="M315" s="62"/>
      <c r="N315" s="62"/>
      <c r="O315" s="62"/>
      <c r="P315" s="62"/>
      <c r="Q315" s="62"/>
      <c r="R315" s="62"/>
      <c r="S315" s="62"/>
      <c r="T315" s="62"/>
      <c r="U315" s="62"/>
    </row>
    <row r="316" spans="1:21" ht="18.75" hidden="1" x14ac:dyDescent="0.25">
      <c r="A316" s="172"/>
      <c r="B316" s="173"/>
      <c r="C316" s="173"/>
      <c r="D316" s="310"/>
      <c r="E316" s="59"/>
      <c r="F316" s="59"/>
      <c r="G316" s="60"/>
      <c r="H316" s="312"/>
      <c r="I316" s="311"/>
      <c r="J316" s="311"/>
      <c r="K316" s="313"/>
      <c r="L316" s="62"/>
      <c r="M316" s="62"/>
      <c r="N316" s="62"/>
      <c r="O316" s="62"/>
      <c r="P316" s="62"/>
      <c r="Q316" s="62"/>
      <c r="R316" s="62"/>
      <c r="S316" s="62"/>
      <c r="T316" s="62"/>
      <c r="U316" s="62"/>
    </row>
    <row r="317" spans="1:21" ht="18.75" hidden="1" x14ac:dyDescent="0.25">
      <c r="A317" s="172"/>
      <c r="B317" s="173"/>
      <c r="C317" s="173"/>
      <c r="D317" s="310"/>
      <c r="E317" s="59"/>
      <c r="F317" s="59"/>
      <c r="G317" s="60"/>
      <c r="H317" s="312"/>
      <c r="I317" s="311"/>
      <c r="J317" s="311"/>
      <c r="K317" s="313"/>
      <c r="L317" s="62"/>
      <c r="M317" s="62"/>
      <c r="N317" s="62"/>
      <c r="O317" s="62"/>
      <c r="P317" s="62"/>
      <c r="Q317" s="62"/>
      <c r="R317" s="62"/>
      <c r="S317" s="62"/>
      <c r="T317" s="62"/>
      <c r="U317" s="62"/>
    </row>
    <row r="318" spans="1:21" ht="19.5" x14ac:dyDescent="0.3">
      <c r="A318" s="296" t="s">
        <v>132</v>
      </c>
      <c r="B318" s="297"/>
      <c r="C318" s="297"/>
      <c r="D318" s="298"/>
      <c r="E318" s="297"/>
      <c r="F318" s="297"/>
      <c r="G318" s="297"/>
      <c r="H318" s="298"/>
      <c r="I318" s="300"/>
      <c r="J318" s="300"/>
      <c r="K318" s="301"/>
      <c r="L318" s="301"/>
      <c r="M318" s="301"/>
      <c r="N318" s="301"/>
      <c r="O318" s="301"/>
      <c r="P318" s="301"/>
      <c r="Q318" s="301"/>
      <c r="R318" s="301"/>
      <c r="S318" s="301"/>
      <c r="T318" s="301"/>
      <c r="U318" s="301"/>
    </row>
    <row r="319" spans="1:21" ht="19.5" x14ac:dyDescent="0.3">
      <c r="A319" s="314"/>
      <c r="B319" s="303" t="s">
        <v>133</v>
      </c>
      <c r="C319" s="315"/>
      <c r="D319" s="316"/>
      <c r="E319" s="304"/>
      <c r="F319" s="304"/>
      <c r="G319" s="305"/>
      <c r="H319" s="306" t="s">
        <v>134</v>
      </c>
      <c r="I319" s="307">
        <f t="shared" ref="I319:J319" ca="1" si="218">I330</f>
        <v>16</v>
      </c>
      <c r="J319" s="307">
        <f t="shared" ca="1" si="218"/>
        <v>16</v>
      </c>
      <c r="K319" s="308">
        <f ca="1">IF(I319&gt;0,J319*100/I319,0)</f>
        <v>100</v>
      </c>
      <c r="L319" s="309"/>
      <c r="M319" s="309"/>
      <c r="N319" s="309"/>
      <c r="O319" s="309"/>
      <c r="P319" s="309"/>
      <c r="Q319" s="309"/>
      <c r="R319" s="309"/>
      <c r="S319" s="309"/>
      <c r="T319" s="309"/>
      <c r="U319" s="309"/>
    </row>
    <row r="320" spans="1:21" ht="19.5" x14ac:dyDescent="0.3">
      <c r="A320" s="142"/>
      <c r="B320" s="36"/>
      <c r="C320" s="143" t="s">
        <v>18</v>
      </c>
      <c r="D320" s="144" t="s">
        <v>19</v>
      </c>
      <c r="E320" s="36"/>
      <c r="F320" s="36"/>
      <c r="G320" s="38"/>
      <c r="H320" s="145" t="s">
        <v>14</v>
      </c>
      <c r="I320" s="40"/>
      <c r="J320" s="40"/>
      <c r="K320" s="41"/>
      <c r="L320" s="146">
        <f t="shared" ref="L320:N320" ca="1" si="219">L321+L322</f>
        <v>8980200</v>
      </c>
      <c r="M320" s="146">
        <f t="shared" ca="1" si="219"/>
        <v>8809222.0199999996</v>
      </c>
      <c r="N320" s="146">
        <f t="shared" ca="1" si="219"/>
        <v>8775983.9699999895</v>
      </c>
      <c r="O320" s="146">
        <f t="shared" ref="O320:O328" ca="1" si="220">IF(L320&gt;0,N320*100/L320,0)</f>
        <v>97.725930046101297</v>
      </c>
      <c r="P320" s="146">
        <f t="shared" ref="P320:P328" ca="1" si="221">IF(M320&gt;0,N320*100/M320,0)</f>
        <v>99.622690290646005</v>
      </c>
      <c r="Q320" s="146">
        <f t="shared" ref="Q320:S320" si="222">Q321+Q322</f>
        <v>0</v>
      </c>
      <c r="R320" s="146">
        <f t="shared" si="222"/>
        <v>0</v>
      </c>
      <c r="S320" s="146">
        <f t="shared" si="222"/>
        <v>0</v>
      </c>
      <c r="T320" s="146">
        <f t="shared" ref="T320:T323" si="223">IF(Q320&gt;0,S320*100/Q320,0)</f>
        <v>0</v>
      </c>
      <c r="U320" s="146">
        <f t="shared" ref="U320:U323" si="224">IF(R320&gt;0,S320*100/R320,0)</f>
        <v>0</v>
      </c>
    </row>
    <row r="321" spans="1:21" ht="18.75" x14ac:dyDescent="0.25">
      <c r="A321" s="142"/>
      <c r="B321" s="36"/>
      <c r="C321" s="36"/>
      <c r="D321" s="36"/>
      <c r="E321" s="43" t="s">
        <v>20</v>
      </c>
      <c r="F321" s="36"/>
      <c r="G321" s="38"/>
      <c r="H321" s="147" t="s">
        <v>14</v>
      </c>
      <c r="I321" s="40"/>
      <c r="J321" s="40"/>
      <c r="K321" s="41"/>
      <c r="L321" s="42">
        <f t="shared" ref="L321:N321" ca="1" si="225">L324+L327</f>
        <v>2589200</v>
      </c>
      <c r="M321" s="42">
        <f t="shared" ca="1" si="225"/>
        <v>2521700</v>
      </c>
      <c r="N321" s="42">
        <f t="shared" ca="1" si="225"/>
        <v>2488536.59</v>
      </c>
      <c r="O321" s="42">
        <f t="shared" ca="1" si="220"/>
        <v>96.112180982542867</v>
      </c>
      <c r="P321" s="42">
        <f t="shared" ca="1" si="221"/>
        <v>98.684878851568385</v>
      </c>
      <c r="Q321" s="42">
        <f t="shared" ref="Q321:S321" si="226">Q324+Q327</f>
        <v>0</v>
      </c>
      <c r="R321" s="42">
        <f t="shared" si="226"/>
        <v>0</v>
      </c>
      <c r="S321" s="42">
        <f t="shared" si="226"/>
        <v>0</v>
      </c>
      <c r="T321" s="42">
        <f t="shared" si="223"/>
        <v>0</v>
      </c>
      <c r="U321" s="42">
        <f t="shared" si="224"/>
        <v>0</v>
      </c>
    </row>
    <row r="322" spans="1:21" ht="18.75" x14ac:dyDescent="0.25">
      <c r="A322" s="142"/>
      <c r="B322" s="36"/>
      <c r="C322" s="36"/>
      <c r="D322" s="36"/>
      <c r="E322" s="43" t="s">
        <v>21</v>
      </c>
      <c r="F322" s="36"/>
      <c r="G322" s="38"/>
      <c r="H322" s="147" t="s">
        <v>14</v>
      </c>
      <c r="I322" s="40"/>
      <c r="J322" s="40"/>
      <c r="K322" s="41"/>
      <c r="L322" s="42">
        <f t="shared" ref="L322:N322" ca="1" si="227">L325+L328</f>
        <v>6391000</v>
      </c>
      <c r="M322" s="42">
        <f t="shared" ca="1" si="227"/>
        <v>6287522.0199999996</v>
      </c>
      <c r="N322" s="42">
        <f t="shared" ca="1" si="227"/>
        <v>6287447.3799999896</v>
      </c>
      <c r="O322" s="42">
        <f t="shared" ca="1" si="220"/>
        <v>98.379711782193539</v>
      </c>
      <c r="P322" s="42">
        <f t="shared" ca="1" si="221"/>
        <v>99.998812886861103</v>
      </c>
      <c r="Q322" s="42">
        <f t="shared" ref="Q322:S322" si="228">Q325+Q328</f>
        <v>0</v>
      </c>
      <c r="R322" s="42">
        <f t="shared" si="228"/>
        <v>0</v>
      </c>
      <c r="S322" s="42">
        <f t="shared" si="228"/>
        <v>0</v>
      </c>
      <c r="T322" s="42">
        <f t="shared" si="223"/>
        <v>0</v>
      </c>
      <c r="U322" s="42">
        <f t="shared" si="224"/>
        <v>0</v>
      </c>
    </row>
    <row r="323" spans="1:21" ht="18.75" x14ac:dyDescent="0.25">
      <c r="A323" s="142"/>
      <c r="B323" s="36"/>
      <c r="C323" s="36"/>
      <c r="D323" s="37" t="s">
        <v>22</v>
      </c>
      <c r="E323" s="36"/>
      <c r="F323" s="36"/>
      <c r="G323" s="38"/>
      <c r="H323" s="148" t="s">
        <v>14</v>
      </c>
      <c r="I323" s="149"/>
      <c r="J323" s="149"/>
      <c r="K323" s="150"/>
      <c r="L323" s="42">
        <f t="shared" ref="L323:N323" ca="1" si="229">L324+L325</f>
        <v>4109200</v>
      </c>
      <c r="M323" s="42">
        <f t="shared" ca="1" si="229"/>
        <v>4109200</v>
      </c>
      <c r="N323" s="42">
        <f t="shared" ca="1" si="229"/>
        <v>4075961.9499999899</v>
      </c>
      <c r="O323" s="42">
        <f t="shared" ca="1" si="220"/>
        <v>99.191130877056111</v>
      </c>
      <c r="P323" s="42">
        <f t="shared" ca="1" si="221"/>
        <v>99.191130877056111</v>
      </c>
      <c r="Q323" s="42">
        <f t="shared" ref="Q323:S323" si="230">Q324+Q325</f>
        <v>0</v>
      </c>
      <c r="R323" s="42">
        <f t="shared" si="230"/>
        <v>0</v>
      </c>
      <c r="S323" s="42">
        <f t="shared" si="230"/>
        <v>0</v>
      </c>
      <c r="T323" s="42">
        <f t="shared" si="223"/>
        <v>0</v>
      </c>
      <c r="U323" s="42">
        <f t="shared" si="224"/>
        <v>0</v>
      </c>
    </row>
    <row r="324" spans="1:21" ht="18.75" x14ac:dyDescent="0.25">
      <c r="A324" s="142"/>
      <c r="B324" s="36"/>
      <c r="C324" s="36"/>
      <c r="D324" s="36"/>
      <c r="E324" s="43" t="s">
        <v>36</v>
      </c>
      <c r="F324" s="36"/>
      <c r="G324" s="38"/>
      <c r="H324" s="148" t="s">
        <v>14</v>
      </c>
      <c r="I324" s="149"/>
      <c r="J324" s="149"/>
      <c r="K324" s="150"/>
      <c r="L324" s="42">
        <f ca="1">IFERROR(__xludf.DUMMYFUNCTION("IMPORTRANGE(""https://docs.google.com/spreadsheets/d/1-uDff_7J0KD5mKrp0Vvzr7lt3OU09vwQwhkpOPPYv2Y/edit?usp=sharing"",""งบพรบ!EI9"")"),2589200)</f>
        <v>2589200</v>
      </c>
      <c r="M324" s="42">
        <f ca="1">IFERROR(__xludf.DUMMYFUNCTION("IMPORTRANGE(""https://docs.google.com/spreadsheets/d/1-uDff_7J0KD5mKrp0Vvzr7lt3OU09vwQwhkpOPPYv2Y/edit?usp=sharing"",""งบพรบ!EN9"")"),2521700)</f>
        <v>2521700</v>
      </c>
      <c r="N324" s="42">
        <f ca="1">IFERROR(__xludf.DUMMYFUNCTION("IMPORTRANGE(""https://docs.google.com/spreadsheets/d/1-uDff_7J0KD5mKrp0Vvzr7lt3OU09vwQwhkpOPPYv2Y/edit?usp=sharing"",""งบพรบ!EP9"")"),2488536.59)</f>
        <v>2488536.59</v>
      </c>
      <c r="O324" s="42">
        <f t="shared" ca="1" si="220"/>
        <v>96.112180982542867</v>
      </c>
      <c r="P324" s="42">
        <f t="shared" ca="1" si="221"/>
        <v>98.684878851568385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</row>
    <row r="325" spans="1:21" ht="18.75" x14ac:dyDescent="0.25">
      <c r="A325" s="142"/>
      <c r="B325" s="36"/>
      <c r="C325" s="36"/>
      <c r="D325" s="36"/>
      <c r="E325" s="43" t="s">
        <v>37</v>
      </c>
      <c r="F325" s="36"/>
      <c r="G325" s="38"/>
      <c r="H325" s="148" t="s">
        <v>14</v>
      </c>
      <c r="I325" s="149"/>
      <c r="J325" s="149"/>
      <c r="K325" s="150"/>
      <c r="L325" s="42">
        <f ca="1">IFERROR(__xludf.DUMMYFUNCTION("IMPORTRANGE(""https://docs.google.com/spreadsheets/d/12pGRKgvn2b31Uz_fjAl3XPzZUM_F2_O-zAHL2XHEPZg/edit?usp=sharing"",""รวมเหนือ!L325"")+IMPORTRANGE(""https://docs.google.com/spreadsheets/d/1c0UfJUA6nE6esVMy0kRcX_PENtt96DMxicQpqi3tips/edit?usp=sharing"","""&amp;"รวมตะวันออกเฉียงเหนือ!L325"")+IMPORTRANGE(""https://docs.google.com/spreadsheets/d/1iNWbYmj0agxPDl_yJgGu1eIremFPVMUuMWUKAjBzvrk/edit?usp=sharing"",""รวมกลาง!L325"")+IMPORTRANGE(""https://docs.google.com/spreadsheets/d/1uenpWDAH2bchvfvsSIjpd4bRU5D1faxJOaE3"&amp;"4GQM5-c/edit?usp=sharing"",""รวมใต้!L325"")"),1520000)</f>
        <v>1520000</v>
      </c>
      <c r="M325" s="42">
        <f ca="1">IFERROR(__xludf.DUMMYFUNCTION("IMPORTRANGE(""https://docs.google.com/spreadsheets/d/12pGRKgvn2b31Uz_fjAl3XPzZUM_F2_O-zAHL2XHEPZg/edit?usp=sharing"",""รวมเหนือ!M325"")+IMPORTRANGE(""https://docs.google.com/spreadsheets/d/1c0UfJUA6nE6esVMy0kRcX_PENtt96DMxicQpqi3tips/edit?usp=sharing"","""&amp;"รวมตะวันออกเฉียงเหนือ!M325"")+IMPORTRANGE(""https://docs.google.com/spreadsheets/d/1iNWbYmj0agxPDl_yJgGu1eIremFPVMUuMWUKAjBzvrk/edit?usp=sharing"",""รวมกลาง!M325"")+IMPORTRANGE(""https://docs.google.com/spreadsheets/d/1uenpWDAH2bchvfvsSIjpd4bRU5D1faxJOaE3"&amp;"4GQM5-c/edit?usp=sharing"",""รวมใต้!M325"")"),1587500)</f>
        <v>1587500</v>
      </c>
      <c r="N325" s="42">
        <f ca="1">IFERROR(__xludf.DUMMYFUNCTION("IMPORTRANGE(""https://docs.google.com/spreadsheets/d/12pGRKgvn2b31Uz_fjAl3XPzZUM_F2_O-zAHL2XHEPZg/edit?usp=sharing"",""รวมเหนือ!N325"")+IMPORTRANGE(""https://docs.google.com/spreadsheets/d/1c0UfJUA6nE6esVMy0kRcX_PENtt96DMxicQpqi3tips/edit?usp=sharing"","""&amp;"รวมตะวันออกเฉียงเหนือ!N325"")+IMPORTRANGE(""https://docs.google.com/spreadsheets/d/1iNWbYmj0agxPDl_yJgGu1eIremFPVMUuMWUKAjBzvrk/edit?usp=sharing"",""รวมกลาง!N325"")+IMPORTRANGE(""https://docs.google.com/spreadsheets/d/1uenpWDAH2bchvfvsSIjpd4bRU5D1faxJOaE3"&amp;"4GQM5-c/edit?usp=sharing"",""รวมใต้!N325"")"),1587425.35999999)</f>
        <v>1587425.3599999901</v>
      </c>
      <c r="O325" s="42">
        <f t="shared" ca="1" si="220"/>
        <v>104.43587894736777</v>
      </c>
      <c r="P325" s="42">
        <f t="shared" ca="1" si="221"/>
        <v>99.99529826771591</v>
      </c>
      <c r="Q325" s="42">
        <v>0</v>
      </c>
      <c r="R325" s="42">
        <v>0</v>
      </c>
      <c r="S325" s="42">
        <v>0</v>
      </c>
      <c r="T325" s="42">
        <v>0</v>
      </c>
      <c r="U325" s="42">
        <v>0</v>
      </c>
    </row>
    <row r="326" spans="1:21" ht="18.75" x14ac:dyDescent="0.25">
      <c r="A326" s="142"/>
      <c r="B326" s="36"/>
      <c r="C326" s="36"/>
      <c r="D326" s="37" t="s">
        <v>23</v>
      </c>
      <c r="E326" s="36"/>
      <c r="F326" s="36"/>
      <c r="G326" s="38"/>
      <c r="H326" s="151" t="s">
        <v>14</v>
      </c>
      <c r="I326" s="149"/>
      <c r="J326" s="149"/>
      <c r="K326" s="150"/>
      <c r="L326" s="42">
        <f t="shared" ref="L326:N326" ca="1" si="231">L327+L328</f>
        <v>4871000</v>
      </c>
      <c r="M326" s="42">
        <f t="shared" ca="1" si="231"/>
        <v>4700022.0199999996</v>
      </c>
      <c r="N326" s="42">
        <f t="shared" ca="1" si="231"/>
        <v>4700022.0199999996</v>
      </c>
      <c r="O326" s="42">
        <f t="shared" ca="1" si="220"/>
        <v>96.489879285567639</v>
      </c>
      <c r="P326" s="42">
        <f t="shared" ca="1" si="221"/>
        <v>100</v>
      </c>
      <c r="Q326" s="42">
        <f t="shared" ref="Q326:S326" si="232">Q327+Q328</f>
        <v>0</v>
      </c>
      <c r="R326" s="42">
        <f t="shared" si="232"/>
        <v>0</v>
      </c>
      <c r="S326" s="42">
        <f t="shared" si="232"/>
        <v>0</v>
      </c>
      <c r="T326" s="42">
        <f>IF(Q326&gt;0,S326*100/Q326,0)</f>
        <v>0</v>
      </c>
      <c r="U326" s="42">
        <f>IF(R326&gt;0,S326*100/R326,0)</f>
        <v>0</v>
      </c>
    </row>
    <row r="327" spans="1:21" ht="18.75" x14ac:dyDescent="0.25">
      <c r="A327" s="142"/>
      <c r="B327" s="36"/>
      <c r="C327" s="36"/>
      <c r="D327" s="36"/>
      <c r="E327" s="43" t="s">
        <v>20</v>
      </c>
      <c r="F327" s="36"/>
      <c r="G327" s="38"/>
      <c r="H327" s="148" t="s">
        <v>14</v>
      </c>
      <c r="I327" s="149"/>
      <c r="J327" s="149"/>
      <c r="K327" s="150"/>
      <c r="L327" s="42">
        <f ca="1">IFERROR(__xludf.DUMMYFUNCTION("IMPORTRANGE(""https://docs.google.com/spreadsheets/d/12pGRKgvn2b31Uz_fjAl3XPzZUM_F2_O-zAHL2XHEPZg/edit?usp=sharing"",""รวมเหนือ!L327"")+IMPORTRANGE(""https://docs.google.com/spreadsheets/d/1c0UfJUA6nE6esVMy0kRcX_PENtt96DMxicQpqi3tips/edit?usp=sharing"","""&amp;"รวมตะวันออกเฉียงเหนือ!L327"")+IMPORTRANGE(""https://docs.google.com/spreadsheets/d/1iNWbYmj0agxPDl_yJgGu1eIremFPVMUuMWUKAjBzvrk/edit?usp=sharing"",""รวมกลาง!L327"")+IMPORTRANGE(""https://docs.google.com/spreadsheets/d/1uenpWDAH2bchvfvsSIjpd4bRU5D1faxJOaE3"&amp;"4GQM5-c/edit?usp=sharing"",""รวมใต้!L327"")"),0)</f>
        <v>0</v>
      </c>
      <c r="M327" s="42">
        <f ca="1">IFERROR(__xludf.DUMMYFUNCTION("IMPORTRANGE(""https://docs.google.com/spreadsheets/d/12pGRKgvn2b31Uz_fjAl3XPzZUM_F2_O-zAHL2XHEPZg/edit?usp=sharing"",""รวมเหนือ!M327"")+IMPORTRANGE(""https://docs.google.com/spreadsheets/d/1c0UfJUA6nE6esVMy0kRcX_PENtt96DMxicQpqi3tips/edit?usp=sharing"","""&amp;"รวมตะวันออกเฉียงเหนือ!M327"")+IMPORTRANGE(""https://docs.google.com/spreadsheets/d/1iNWbYmj0agxPDl_yJgGu1eIremFPVMUuMWUKAjBzvrk/edit?usp=sharing"",""รวมกลาง!M327"")+IMPORTRANGE(""https://docs.google.com/spreadsheets/d/1uenpWDAH2bchvfvsSIjpd4bRU5D1faxJOaE3"&amp;"4GQM5-c/edit?usp=sharing"",""รวมใต้!M327"")"),0)</f>
        <v>0</v>
      </c>
      <c r="N327" s="42">
        <f ca="1">IFERROR(__xludf.DUMMYFUNCTION("IMPORTRANGE(""https://docs.google.com/spreadsheets/d/12pGRKgvn2b31Uz_fjAl3XPzZUM_F2_O-zAHL2XHEPZg/edit?usp=sharing"",""รวมเหนือ!N327"")+IMPORTRANGE(""https://docs.google.com/spreadsheets/d/1c0UfJUA6nE6esVMy0kRcX_PENtt96DMxicQpqi3tips/edit?usp=sharing"","""&amp;"รวมตะวันออกเฉียงเหนือ!N327"")+IMPORTRANGE(""https://docs.google.com/spreadsheets/d/1iNWbYmj0agxPDl_yJgGu1eIremFPVMUuMWUKAjBzvrk/edit?usp=sharing"",""รวมกลาง!N327"")+IMPORTRANGE(""https://docs.google.com/spreadsheets/d/1uenpWDAH2bchvfvsSIjpd4bRU5D1faxJOaE3"&amp;"4GQM5-c/edit?usp=sharing"",""รวมใต้!N327"")"),0)</f>
        <v>0</v>
      </c>
      <c r="O327" s="42">
        <f t="shared" ca="1" si="220"/>
        <v>0</v>
      </c>
      <c r="P327" s="42">
        <f t="shared" ca="1" si="221"/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</row>
    <row r="328" spans="1:21" ht="18.75" x14ac:dyDescent="0.25">
      <c r="A328" s="142"/>
      <c r="B328" s="36"/>
      <c r="C328" s="36"/>
      <c r="D328" s="36"/>
      <c r="E328" s="43" t="s">
        <v>21</v>
      </c>
      <c r="F328" s="36"/>
      <c r="G328" s="38"/>
      <c r="H328" s="151" t="s">
        <v>14</v>
      </c>
      <c r="I328" s="149"/>
      <c r="J328" s="149"/>
      <c r="K328" s="150"/>
      <c r="L328" s="42">
        <f ca="1">IFERROR(__xludf.DUMMYFUNCTION("IMPORTRANGE(""https://docs.google.com/spreadsheets/d/12pGRKgvn2b31Uz_fjAl3XPzZUM_F2_O-zAHL2XHEPZg/edit?usp=sharing"",""รวมเหนือ!L328"")+IMPORTRANGE(""https://docs.google.com/spreadsheets/d/1c0UfJUA6nE6esVMy0kRcX_PENtt96DMxicQpqi3tips/edit?usp=sharing"","""&amp;"รวมตะวันออกเฉียงเหนือ!L328"")+IMPORTRANGE(""https://docs.google.com/spreadsheets/d/1iNWbYmj0agxPDl_yJgGu1eIremFPVMUuMWUKAjBzvrk/edit?usp=sharing"",""รวมกลาง!L328"")+IMPORTRANGE(""https://docs.google.com/spreadsheets/d/1uenpWDAH2bchvfvsSIjpd4bRU5D1faxJOaE3"&amp;"4GQM5-c/edit?usp=sharing"",""รวมใต้!L328"")"),4871000)</f>
        <v>4871000</v>
      </c>
      <c r="M328" s="42">
        <f ca="1">IFERROR(__xludf.DUMMYFUNCTION("IMPORTRANGE(""https://docs.google.com/spreadsheets/d/12pGRKgvn2b31Uz_fjAl3XPzZUM_F2_O-zAHL2XHEPZg/edit?usp=sharing"",""รวมเหนือ!M328"")+IMPORTRANGE(""https://docs.google.com/spreadsheets/d/1c0UfJUA6nE6esVMy0kRcX_PENtt96DMxicQpqi3tips/edit?usp=sharing"","""&amp;"รวมตะวันออกเฉียงเหนือ!M328"")+IMPORTRANGE(""https://docs.google.com/spreadsheets/d/1iNWbYmj0agxPDl_yJgGu1eIremFPVMUuMWUKAjBzvrk/edit?usp=sharing"",""รวมกลาง!M328"")+IMPORTRANGE(""https://docs.google.com/spreadsheets/d/1uenpWDAH2bchvfvsSIjpd4bRU5D1faxJOaE3"&amp;"4GQM5-c/edit?usp=sharing"",""รวมใต้!M328"")"),4700022.02)</f>
        <v>4700022.0199999996</v>
      </c>
      <c r="N328" s="42">
        <f ca="1">IFERROR(__xludf.DUMMYFUNCTION("IMPORTRANGE(""https://docs.google.com/spreadsheets/d/12pGRKgvn2b31Uz_fjAl3XPzZUM_F2_O-zAHL2XHEPZg/edit?usp=sharing"",""รวมเหนือ!N328"")+IMPORTRANGE(""https://docs.google.com/spreadsheets/d/1c0UfJUA6nE6esVMy0kRcX_PENtt96DMxicQpqi3tips/edit?usp=sharing"","""&amp;"รวมตะวันออกเฉียงเหนือ!N328"")+IMPORTRANGE(""https://docs.google.com/spreadsheets/d/1iNWbYmj0agxPDl_yJgGu1eIremFPVMUuMWUKAjBzvrk/edit?usp=sharing"",""รวมกลาง!N328"")+IMPORTRANGE(""https://docs.google.com/spreadsheets/d/1uenpWDAH2bchvfvsSIjpd4bRU5D1faxJOaE3"&amp;"4GQM5-c/edit?usp=sharing"",""รวมใต้!N328"")"),4700022.02)</f>
        <v>4700022.0199999996</v>
      </c>
      <c r="O328" s="42">
        <f t="shared" ca="1" si="220"/>
        <v>96.489879285567639</v>
      </c>
      <c r="P328" s="42">
        <f t="shared" ca="1" si="221"/>
        <v>100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</row>
    <row r="329" spans="1:21" ht="19.5" x14ac:dyDescent="0.3">
      <c r="A329" s="152"/>
      <c r="B329" s="153"/>
      <c r="C329" s="143" t="s">
        <v>18</v>
      </c>
      <c r="D329" s="154" t="s">
        <v>38</v>
      </c>
      <c r="E329" s="155"/>
      <c r="F329" s="155"/>
      <c r="G329" s="156"/>
      <c r="H329" s="157"/>
      <c r="I329" s="149"/>
      <c r="J329" s="40"/>
      <c r="K329" s="41"/>
      <c r="L329" s="41"/>
      <c r="M329" s="41"/>
      <c r="N329" s="41"/>
      <c r="O329" s="150"/>
      <c r="P329" s="150"/>
      <c r="Q329" s="41"/>
      <c r="R329" s="41"/>
      <c r="S329" s="41"/>
      <c r="T329" s="150"/>
      <c r="U329" s="150"/>
    </row>
    <row r="330" spans="1:21" ht="18.75" x14ac:dyDescent="0.25">
      <c r="A330" s="152"/>
      <c r="B330" s="153"/>
      <c r="C330" s="153"/>
      <c r="D330" s="158" t="s">
        <v>135</v>
      </c>
      <c r="E330" s="159"/>
      <c r="F330" s="159"/>
      <c r="G330" s="157"/>
      <c r="H330" s="39" t="s">
        <v>134</v>
      </c>
      <c r="I330" s="176">
        <f ca="1">IFERROR(__xludf.DUMMYFUNCTION("IMPORTRANGE(""https://docs.google.com/spreadsheets/d/12pGRKgvn2b31Uz_fjAl3XPzZUM_F2_O-zAHL2XHEPZg/edit?usp=sharing"",""รวมเหนือ!I330"")+IMPORTRANGE(""https://docs.google.com/spreadsheets/d/1c0UfJUA6nE6esVMy0kRcX_PENtt96DMxicQpqi3tips/edit?usp=sharing"","""&amp;"รวมตะวันออกเฉียงเหนือ!I330"")+IMPORTRANGE(""https://docs.google.com/spreadsheets/d/1iNWbYmj0agxPDl_yJgGu1eIremFPVMUuMWUKAjBzvrk/edit?usp=sharing"",""รวมกลาง!I330"")+IMPORTRANGE(""https://docs.google.com/spreadsheets/d/1uenpWDAH2bchvfvsSIjpd4bRU5D1faxJOaE3"&amp;"4GQM5-c/edit?usp=sharing"",""รวมใต้!I330"")"),16)</f>
        <v>16</v>
      </c>
      <c r="J330" s="176">
        <f ca="1">IFERROR(__xludf.DUMMYFUNCTION("IMPORTRANGE(""https://docs.google.com/spreadsheets/d/12pGRKgvn2b31Uz_fjAl3XPzZUM_F2_O-zAHL2XHEPZg/edit?usp=sharing"",""รวมเหนือ!J330"")+IMPORTRANGE(""https://docs.google.com/spreadsheets/d/1c0UfJUA6nE6esVMy0kRcX_PENtt96DMxicQpqi3tips/edit?usp=sharing"","""&amp;"รวมตะวันออกเฉียงเหนือ!J330"")+IMPORTRANGE(""https://docs.google.com/spreadsheets/d/1iNWbYmj0agxPDl_yJgGu1eIremFPVMUuMWUKAjBzvrk/edit?usp=sharing"",""รวมกลาง!J330"")+IMPORTRANGE(""https://docs.google.com/spreadsheets/d/1uenpWDAH2bchvfvsSIjpd4bRU5D1faxJOaE3"&amp;"4GQM5-c/edit?usp=sharing"",""รวมใต้!J330"")"),16)</f>
        <v>16</v>
      </c>
      <c r="K330" s="42">
        <f ca="1">IF(I330&gt;0,J330*100/I330,0)</f>
        <v>100</v>
      </c>
      <c r="L330" s="41"/>
      <c r="M330" s="41"/>
      <c r="N330" s="41"/>
      <c r="O330" s="150"/>
      <c r="P330" s="150"/>
      <c r="Q330" s="41"/>
      <c r="R330" s="41"/>
      <c r="S330" s="41"/>
      <c r="T330" s="150"/>
      <c r="U330" s="150"/>
    </row>
    <row r="331" spans="1:21" ht="19.5" x14ac:dyDescent="0.3">
      <c r="A331" s="296" t="s">
        <v>136</v>
      </c>
      <c r="B331" s="297"/>
      <c r="C331" s="297"/>
      <c r="D331" s="298"/>
      <c r="E331" s="297"/>
      <c r="F331" s="297"/>
      <c r="G331" s="297"/>
      <c r="H331" s="298"/>
      <c r="I331" s="300"/>
      <c r="J331" s="300"/>
      <c r="K331" s="301"/>
      <c r="L331" s="301"/>
      <c r="M331" s="301"/>
      <c r="N331" s="301"/>
      <c r="O331" s="301"/>
      <c r="P331" s="301"/>
      <c r="Q331" s="301"/>
      <c r="R331" s="301"/>
      <c r="S331" s="301"/>
      <c r="T331" s="301"/>
      <c r="U331" s="301"/>
    </row>
    <row r="332" spans="1:21" ht="19.5" x14ac:dyDescent="0.3">
      <c r="A332" s="302"/>
      <c r="B332" s="303" t="s">
        <v>137</v>
      </c>
      <c r="C332" s="316"/>
      <c r="D332" s="304"/>
      <c r="E332" s="304"/>
      <c r="F332" s="304"/>
      <c r="G332" s="305"/>
      <c r="H332" s="306" t="s">
        <v>35</v>
      </c>
      <c r="I332" s="307">
        <f ca="1">IFERROR(__xludf.DUMMYFUNCTION("IMPORTRANGE(""https://docs.google.com/spreadsheets/d/12pGRKgvn2b31Uz_fjAl3XPzZUM_F2_O-zAHL2XHEPZg/edit?usp=sharing"",""รวมเหนือ!I332"")+IMPORTRANGE(""https://docs.google.com/spreadsheets/d/1c0UfJUA6nE6esVMy0kRcX_PENtt96DMxicQpqi3tips/edit?usp=sharing"","""&amp;"รวมตะวันออกเฉียงเหนือ!I332"")+IMPORTRANGE(""https://docs.google.com/spreadsheets/d/1iNWbYmj0agxPDl_yJgGu1eIremFPVMUuMWUKAjBzvrk/edit?usp=sharing"",""รวมกลาง!I332"")+IMPORTRANGE(""https://docs.google.com/spreadsheets/d/1uenpWDAH2bchvfvsSIjpd4bRU5D1faxJOaE3"&amp;"4GQM5-c/edit?usp=sharing"",""รวมใต้!I332"")"),180000)</f>
        <v>180000</v>
      </c>
      <c r="J332" s="307">
        <f ca="1">J344+J347+J348+J349+J353+J354</f>
        <v>690156</v>
      </c>
      <c r="K332" s="308">
        <f ca="1">IF(I332&gt;0,J332*100/I332,0)</f>
        <v>383.42</v>
      </c>
      <c r="L332" s="309"/>
      <c r="M332" s="309"/>
      <c r="N332" s="309"/>
      <c r="O332" s="309"/>
      <c r="P332" s="309"/>
      <c r="Q332" s="309"/>
      <c r="R332" s="309"/>
      <c r="S332" s="309"/>
      <c r="T332" s="309"/>
      <c r="U332" s="309"/>
    </row>
    <row r="333" spans="1:21" ht="19.5" x14ac:dyDescent="0.3">
      <c r="A333" s="142"/>
      <c r="B333" s="36"/>
      <c r="C333" s="143" t="s">
        <v>18</v>
      </c>
      <c r="D333" s="144" t="s">
        <v>19</v>
      </c>
      <c r="E333" s="36"/>
      <c r="F333" s="36"/>
      <c r="G333" s="38"/>
      <c r="H333" s="145" t="s">
        <v>14</v>
      </c>
      <c r="I333" s="40"/>
      <c r="J333" s="40"/>
      <c r="K333" s="41"/>
      <c r="L333" s="146">
        <f t="shared" ref="L333:N333" ca="1" si="233">L334+L335</f>
        <v>18648000</v>
      </c>
      <c r="M333" s="146">
        <f t="shared" ca="1" si="233"/>
        <v>18648000</v>
      </c>
      <c r="N333" s="146">
        <f t="shared" ca="1" si="233"/>
        <v>18647999.239999998</v>
      </c>
      <c r="O333" s="146">
        <f t="shared" ref="O333:O341" ca="1" si="234">IF(L333&gt;0,N333*100/L333,0)</f>
        <v>99.999995924495906</v>
      </c>
      <c r="P333" s="146">
        <f t="shared" ref="P333:P341" ca="1" si="235">IF(M333&gt;0,N333*100/M333,0)</f>
        <v>99.999995924495906</v>
      </c>
      <c r="Q333" s="146">
        <f t="shared" ref="Q333:S333" si="236">Q334+Q335</f>
        <v>0</v>
      </c>
      <c r="R333" s="146">
        <f t="shared" si="236"/>
        <v>0</v>
      </c>
      <c r="S333" s="146">
        <f t="shared" si="236"/>
        <v>0</v>
      </c>
      <c r="T333" s="146">
        <f t="shared" ref="T333:T336" si="237">IF(Q333&gt;0,S333*100/Q333,0)</f>
        <v>0</v>
      </c>
      <c r="U333" s="146">
        <f t="shared" ref="U333:U336" si="238">IF(R333&gt;0,S333*100/R333,0)</f>
        <v>0</v>
      </c>
    </row>
    <row r="334" spans="1:21" ht="18.75" x14ac:dyDescent="0.25">
      <c r="A334" s="142"/>
      <c r="B334" s="36"/>
      <c r="C334" s="36"/>
      <c r="D334" s="36"/>
      <c r="E334" s="43" t="s">
        <v>20</v>
      </c>
      <c r="F334" s="36"/>
      <c r="G334" s="38"/>
      <c r="H334" s="147" t="s">
        <v>14</v>
      </c>
      <c r="I334" s="40"/>
      <c r="J334" s="40"/>
      <c r="K334" s="41"/>
      <c r="L334" s="42">
        <f t="shared" ref="L334:N334" ca="1" si="239">L337+L340</f>
        <v>868800</v>
      </c>
      <c r="M334" s="42">
        <f t="shared" ca="1" si="239"/>
        <v>787625</v>
      </c>
      <c r="N334" s="42">
        <f t="shared" ca="1" si="239"/>
        <v>787625</v>
      </c>
      <c r="O334" s="42">
        <f t="shared" ca="1" si="234"/>
        <v>90.656652854511975</v>
      </c>
      <c r="P334" s="42">
        <f t="shared" ca="1" si="235"/>
        <v>100</v>
      </c>
      <c r="Q334" s="42">
        <f t="shared" ref="Q334:S334" si="240">Q337+Q340</f>
        <v>0</v>
      </c>
      <c r="R334" s="42">
        <f t="shared" si="240"/>
        <v>0</v>
      </c>
      <c r="S334" s="42">
        <f t="shared" si="240"/>
        <v>0</v>
      </c>
      <c r="T334" s="42">
        <f t="shared" si="237"/>
        <v>0</v>
      </c>
      <c r="U334" s="42">
        <f t="shared" si="238"/>
        <v>0</v>
      </c>
    </row>
    <row r="335" spans="1:21" ht="18.75" x14ac:dyDescent="0.25">
      <c r="A335" s="142"/>
      <c r="B335" s="36"/>
      <c r="C335" s="36"/>
      <c r="D335" s="36"/>
      <c r="E335" s="43" t="s">
        <v>21</v>
      </c>
      <c r="F335" s="36"/>
      <c r="G335" s="38"/>
      <c r="H335" s="147" t="s">
        <v>14</v>
      </c>
      <c r="I335" s="40"/>
      <c r="J335" s="40"/>
      <c r="K335" s="41"/>
      <c r="L335" s="42">
        <f t="shared" ref="L335:N335" ca="1" si="241">L338+L341</f>
        <v>17779200</v>
      </c>
      <c r="M335" s="42">
        <f t="shared" ca="1" si="241"/>
        <v>17860375</v>
      </c>
      <c r="N335" s="42">
        <f t="shared" ca="1" si="241"/>
        <v>17860374.239999998</v>
      </c>
      <c r="O335" s="42">
        <f t="shared" ca="1" si="234"/>
        <v>100.45656857451402</v>
      </c>
      <c r="P335" s="42">
        <f t="shared" ca="1" si="235"/>
        <v>99.999995744770189</v>
      </c>
      <c r="Q335" s="42">
        <f t="shared" ref="Q335:S335" si="242">Q338+Q341</f>
        <v>0</v>
      </c>
      <c r="R335" s="42">
        <f t="shared" si="242"/>
        <v>0</v>
      </c>
      <c r="S335" s="42">
        <f t="shared" si="242"/>
        <v>0</v>
      </c>
      <c r="T335" s="42">
        <f t="shared" si="237"/>
        <v>0</v>
      </c>
      <c r="U335" s="42">
        <f t="shared" si="238"/>
        <v>0</v>
      </c>
    </row>
    <row r="336" spans="1:21" ht="18.75" x14ac:dyDescent="0.25">
      <c r="A336" s="142"/>
      <c r="B336" s="36"/>
      <c r="C336" s="36"/>
      <c r="D336" s="37" t="s">
        <v>22</v>
      </c>
      <c r="E336" s="36"/>
      <c r="F336" s="36"/>
      <c r="G336" s="38"/>
      <c r="H336" s="148" t="s">
        <v>14</v>
      </c>
      <c r="I336" s="149"/>
      <c r="J336" s="149"/>
      <c r="K336" s="150"/>
      <c r="L336" s="42">
        <f t="shared" ref="L336:N336" ca="1" si="243">L337+L338</f>
        <v>17798000</v>
      </c>
      <c r="M336" s="42">
        <f t="shared" ca="1" si="243"/>
        <v>17798000</v>
      </c>
      <c r="N336" s="42">
        <f t="shared" ca="1" si="243"/>
        <v>17797999.239999998</v>
      </c>
      <c r="O336" s="42">
        <f t="shared" ca="1" si="234"/>
        <v>99.999995729857275</v>
      </c>
      <c r="P336" s="42">
        <f t="shared" ca="1" si="235"/>
        <v>99.999995729857275</v>
      </c>
      <c r="Q336" s="42">
        <f t="shared" ref="Q336:S336" si="244">Q337+Q338</f>
        <v>0</v>
      </c>
      <c r="R336" s="42">
        <f t="shared" si="244"/>
        <v>0</v>
      </c>
      <c r="S336" s="42">
        <f t="shared" si="244"/>
        <v>0</v>
      </c>
      <c r="T336" s="42">
        <f t="shared" si="237"/>
        <v>0</v>
      </c>
      <c r="U336" s="42">
        <f t="shared" si="238"/>
        <v>0</v>
      </c>
    </row>
    <row r="337" spans="1:21" ht="18.75" x14ac:dyDescent="0.25">
      <c r="A337" s="142"/>
      <c r="B337" s="36"/>
      <c r="C337" s="36"/>
      <c r="D337" s="36"/>
      <c r="E337" s="43" t="s">
        <v>36</v>
      </c>
      <c r="F337" s="36"/>
      <c r="G337" s="38"/>
      <c r="H337" s="148" t="s">
        <v>14</v>
      </c>
      <c r="I337" s="149"/>
      <c r="J337" s="149"/>
      <c r="K337" s="150"/>
      <c r="L337" s="42">
        <f ca="1">IFERROR(__xludf.DUMMYFUNCTION("IMPORTRANGE(""https://docs.google.com/spreadsheets/d/1-uDff_7J0KD5mKrp0Vvzr7lt3OU09vwQwhkpOPPYv2Y/edit?usp=sharing"",""งบพรบ!ES9"")"),868800)</f>
        <v>868800</v>
      </c>
      <c r="M337" s="42">
        <f ca="1">IFERROR(__xludf.DUMMYFUNCTION("IMPORTRANGE(""https://docs.google.com/spreadsheets/d/1-uDff_7J0KD5mKrp0Vvzr7lt3OU09vwQwhkpOPPYv2Y/edit?usp=sharing"",""งบพรบ!EX9"")"),787625)</f>
        <v>787625</v>
      </c>
      <c r="N337" s="42">
        <f ca="1">IFERROR(__xludf.DUMMYFUNCTION("IMPORTRANGE(""https://docs.google.com/spreadsheets/d/1-uDff_7J0KD5mKrp0Vvzr7lt3OU09vwQwhkpOPPYv2Y/edit?usp=sharing"",""งบพรบ!EZ9"")"),787625)</f>
        <v>787625</v>
      </c>
      <c r="O337" s="42">
        <f t="shared" ca="1" si="234"/>
        <v>90.656652854511975</v>
      </c>
      <c r="P337" s="42">
        <f t="shared" ca="1" si="235"/>
        <v>100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</row>
    <row r="338" spans="1:21" ht="18.75" x14ac:dyDescent="0.25">
      <c r="A338" s="142"/>
      <c r="B338" s="36"/>
      <c r="C338" s="36"/>
      <c r="D338" s="36"/>
      <c r="E338" s="43" t="s">
        <v>37</v>
      </c>
      <c r="F338" s="36"/>
      <c r="G338" s="38"/>
      <c r="H338" s="148" t="s">
        <v>14</v>
      </c>
      <c r="I338" s="149"/>
      <c r="J338" s="149"/>
      <c r="K338" s="150"/>
      <c r="L338" s="42">
        <f ca="1">IFERROR(__xludf.DUMMYFUNCTION("IMPORTRANGE(""https://docs.google.com/spreadsheets/d/12pGRKgvn2b31Uz_fjAl3XPzZUM_F2_O-zAHL2XHEPZg/edit?usp=sharing"",""รวมเหนือ!L338"")+IMPORTRANGE(""https://docs.google.com/spreadsheets/d/1c0UfJUA6nE6esVMy0kRcX_PENtt96DMxicQpqi3tips/edit?usp=sharing"","""&amp;"รวมตะวันออกเฉียงเหนือ!L338"")+IMPORTRANGE(""https://docs.google.com/spreadsheets/d/1iNWbYmj0agxPDl_yJgGu1eIremFPVMUuMWUKAjBzvrk/edit?usp=sharing"",""รวมกลาง!L338"")+IMPORTRANGE(""https://docs.google.com/spreadsheets/d/1uenpWDAH2bchvfvsSIjpd4bRU5D1faxJOaE3"&amp;"4GQM5-c/edit?usp=sharing"",""รวมใต้!L338"")"),16929200)</f>
        <v>16929200</v>
      </c>
      <c r="M338" s="42">
        <f ca="1">IFERROR(__xludf.DUMMYFUNCTION("IMPORTRANGE(""https://docs.google.com/spreadsheets/d/12pGRKgvn2b31Uz_fjAl3XPzZUM_F2_O-zAHL2XHEPZg/edit?usp=sharing"",""รวมเหนือ!M338"")+IMPORTRANGE(""https://docs.google.com/spreadsheets/d/1c0UfJUA6nE6esVMy0kRcX_PENtt96DMxicQpqi3tips/edit?usp=sharing"","""&amp;"รวมตะวันออกเฉียงเหนือ!M338"")+IMPORTRANGE(""https://docs.google.com/spreadsheets/d/1iNWbYmj0agxPDl_yJgGu1eIremFPVMUuMWUKAjBzvrk/edit?usp=sharing"",""รวมกลาง!M338"")+IMPORTRANGE(""https://docs.google.com/spreadsheets/d/1uenpWDAH2bchvfvsSIjpd4bRU5D1faxJOaE3"&amp;"4GQM5-c/edit?usp=sharing"",""รวมใต้!M338"")"),17010375)</f>
        <v>17010375</v>
      </c>
      <c r="N338" s="42">
        <f ca="1">IFERROR(__xludf.DUMMYFUNCTION("IMPORTRANGE(""https://docs.google.com/spreadsheets/d/12pGRKgvn2b31Uz_fjAl3XPzZUM_F2_O-zAHL2XHEPZg/edit?usp=sharing"",""รวมเหนือ!N338"")+IMPORTRANGE(""https://docs.google.com/spreadsheets/d/1c0UfJUA6nE6esVMy0kRcX_PENtt96DMxicQpqi3tips/edit?usp=sharing"","""&amp;"รวมตะวันออกเฉียงเหนือ!N338"")+IMPORTRANGE(""https://docs.google.com/spreadsheets/d/1iNWbYmj0agxPDl_yJgGu1eIremFPVMUuMWUKAjBzvrk/edit?usp=sharing"",""รวมกลาง!N338"")+IMPORTRANGE(""https://docs.google.com/spreadsheets/d/1uenpWDAH2bchvfvsSIjpd4bRU5D1faxJOaE3"&amp;"4GQM5-c/edit?usp=sharing"",""รวมใต้!N338"")"),17010374.24)</f>
        <v>17010374.239999998</v>
      </c>
      <c r="O338" s="42">
        <f t="shared" ca="1" si="234"/>
        <v>100.47949247454102</v>
      </c>
      <c r="P338" s="42">
        <f t="shared" ca="1" si="235"/>
        <v>99.999995532138456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</row>
    <row r="339" spans="1:21" ht="18.75" x14ac:dyDescent="0.25">
      <c r="A339" s="142"/>
      <c r="B339" s="36"/>
      <c r="C339" s="36"/>
      <c r="D339" s="37" t="s">
        <v>23</v>
      </c>
      <c r="E339" s="36"/>
      <c r="F339" s="36"/>
      <c r="G339" s="38"/>
      <c r="H339" s="151" t="s">
        <v>14</v>
      </c>
      <c r="I339" s="149"/>
      <c r="J339" s="149"/>
      <c r="K339" s="150"/>
      <c r="L339" s="42">
        <f t="shared" ref="L339:N339" ca="1" si="245">L340+L341</f>
        <v>850000</v>
      </c>
      <c r="M339" s="42">
        <f t="shared" ca="1" si="245"/>
        <v>850000</v>
      </c>
      <c r="N339" s="42">
        <f t="shared" ca="1" si="245"/>
        <v>850000</v>
      </c>
      <c r="O339" s="42">
        <f t="shared" ca="1" si="234"/>
        <v>100</v>
      </c>
      <c r="P339" s="42">
        <f t="shared" ca="1" si="235"/>
        <v>100</v>
      </c>
      <c r="Q339" s="42">
        <f t="shared" ref="Q339:S339" si="246">Q340+Q341</f>
        <v>0</v>
      </c>
      <c r="R339" s="42">
        <f t="shared" si="246"/>
        <v>0</v>
      </c>
      <c r="S339" s="42">
        <f t="shared" si="246"/>
        <v>0</v>
      </c>
      <c r="T339" s="42">
        <f>IF(Q339&gt;0,S339*100/Q339,0)</f>
        <v>0</v>
      </c>
      <c r="U339" s="42">
        <f>IF(R339&gt;0,S339*100/R339,0)</f>
        <v>0</v>
      </c>
    </row>
    <row r="340" spans="1:21" ht="18.75" x14ac:dyDescent="0.25">
      <c r="A340" s="142"/>
      <c r="B340" s="36"/>
      <c r="C340" s="36"/>
      <c r="D340" s="36"/>
      <c r="E340" s="43" t="s">
        <v>20</v>
      </c>
      <c r="F340" s="36"/>
      <c r="G340" s="38"/>
      <c r="H340" s="148" t="s">
        <v>14</v>
      </c>
      <c r="I340" s="149"/>
      <c r="J340" s="149"/>
      <c r="K340" s="150"/>
      <c r="L340" s="42">
        <f ca="1">IFERROR(__xludf.DUMMYFUNCTION("IMPORTRANGE(""https://docs.google.com/spreadsheets/d/12pGRKgvn2b31Uz_fjAl3XPzZUM_F2_O-zAHL2XHEPZg/edit?usp=sharing"",""รวมเหนือ!L340"")+IMPORTRANGE(""https://docs.google.com/spreadsheets/d/1c0UfJUA6nE6esVMy0kRcX_PENtt96DMxicQpqi3tips/edit?usp=sharing"","""&amp;"รวมตะวันออกเฉียงเหนือ!L340"")+IMPORTRANGE(""https://docs.google.com/spreadsheets/d/1iNWbYmj0agxPDl_yJgGu1eIremFPVMUuMWUKAjBzvrk/edit?usp=sharing"",""รวมกลาง!L340"")+IMPORTRANGE(""https://docs.google.com/spreadsheets/d/1uenpWDAH2bchvfvsSIjpd4bRU5D1faxJOaE3"&amp;"4GQM5-c/edit?usp=sharing"",""รวมใต้!L340"")"),0)</f>
        <v>0</v>
      </c>
      <c r="M340" s="42">
        <f ca="1">IFERROR(__xludf.DUMMYFUNCTION("IMPORTRANGE(""https://docs.google.com/spreadsheets/d/12pGRKgvn2b31Uz_fjAl3XPzZUM_F2_O-zAHL2XHEPZg/edit?usp=sharing"",""รวมเหนือ!M340"")+IMPORTRANGE(""https://docs.google.com/spreadsheets/d/1c0UfJUA6nE6esVMy0kRcX_PENtt96DMxicQpqi3tips/edit?usp=sharing"","""&amp;"รวมตะวันออกเฉียงเหนือ!M340"")+IMPORTRANGE(""https://docs.google.com/spreadsheets/d/1iNWbYmj0agxPDl_yJgGu1eIremFPVMUuMWUKAjBzvrk/edit?usp=sharing"",""รวมกลาง!M340"")+IMPORTRANGE(""https://docs.google.com/spreadsheets/d/1uenpWDAH2bchvfvsSIjpd4bRU5D1faxJOaE3"&amp;"4GQM5-c/edit?usp=sharing"",""รวมใต้!M340"")"),0)</f>
        <v>0</v>
      </c>
      <c r="N340" s="42">
        <f ca="1">IFERROR(__xludf.DUMMYFUNCTION("IMPORTRANGE(""https://docs.google.com/spreadsheets/d/12pGRKgvn2b31Uz_fjAl3XPzZUM_F2_O-zAHL2XHEPZg/edit?usp=sharing"",""รวมเหนือ!N340"")+IMPORTRANGE(""https://docs.google.com/spreadsheets/d/1c0UfJUA6nE6esVMy0kRcX_PENtt96DMxicQpqi3tips/edit?usp=sharing"","""&amp;"รวมตะวันออกเฉียงเหนือ!N340"")+IMPORTRANGE(""https://docs.google.com/spreadsheets/d/1iNWbYmj0agxPDl_yJgGu1eIremFPVMUuMWUKAjBzvrk/edit?usp=sharing"",""รวมกลาง!N340"")+IMPORTRANGE(""https://docs.google.com/spreadsheets/d/1uenpWDAH2bchvfvsSIjpd4bRU5D1faxJOaE3"&amp;"4GQM5-c/edit?usp=sharing"",""รวมใต้!N340"")"),0)</f>
        <v>0</v>
      </c>
      <c r="O340" s="42">
        <f t="shared" ca="1" si="234"/>
        <v>0</v>
      </c>
      <c r="P340" s="42">
        <f t="shared" ca="1" si="235"/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</row>
    <row r="341" spans="1:21" ht="18.75" x14ac:dyDescent="0.25">
      <c r="A341" s="142"/>
      <c r="B341" s="36"/>
      <c r="C341" s="36"/>
      <c r="D341" s="36"/>
      <c r="E341" s="43" t="s">
        <v>21</v>
      </c>
      <c r="F341" s="36"/>
      <c r="G341" s="38"/>
      <c r="H341" s="151" t="s">
        <v>14</v>
      </c>
      <c r="I341" s="149"/>
      <c r="J341" s="149"/>
      <c r="K341" s="150"/>
      <c r="L341" s="42">
        <f ca="1">IFERROR(__xludf.DUMMYFUNCTION("IMPORTRANGE(""https://docs.google.com/spreadsheets/d/12pGRKgvn2b31Uz_fjAl3XPzZUM_F2_O-zAHL2XHEPZg/edit?usp=sharing"",""รวมเหนือ!L341"")+IMPORTRANGE(""https://docs.google.com/spreadsheets/d/1c0UfJUA6nE6esVMy0kRcX_PENtt96DMxicQpqi3tips/edit?usp=sharing"","""&amp;"รวมตะวันออกเฉียงเหนือ!L341"")+IMPORTRANGE(""https://docs.google.com/spreadsheets/d/1iNWbYmj0agxPDl_yJgGu1eIremFPVMUuMWUKAjBzvrk/edit?usp=sharing"",""รวมกลาง!L341"")+IMPORTRANGE(""https://docs.google.com/spreadsheets/d/1uenpWDAH2bchvfvsSIjpd4bRU5D1faxJOaE3"&amp;"4GQM5-c/edit?usp=sharing"",""รวมใต้!L341"")"),850000)</f>
        <v>850000</v>
      </c>
      <c r="M341" s="42">
        <f ca="1">IFERROR(__xludf.DUMMYFUNCTION("IMPORTRANGE(""https://docs.google.com/spreadsheets/d/12pGRKgvn2b31Uz_fjAl3XPzZUM_F2_O-zAHL2XHEPZg/edit?usp=sharing"",""รวมเหนือ!M341"")+IMPORTRANGE(""https://docs.google.com/spreadsheets/d/1c0UfJUA6nE6esVMy0kRcX_PENtt96DMxicQpqi3tips/edit?usp=sharing"","""&amp;"รวมตะวันออกเฉียงเหนือ!M341"")+IMPORTRANGE(""https://docs.google.com/spreadsheets/d/1iNWbYmj0agxPDl_yJgGu1eIremFPVMUuMWUKAjBzvrk/edit?usp=sharing"",""รวมกลาง!M341"")+IMPORTRANGE(""https://docs.google.com/spreadsheets/d/1uenpWDAH2bchvfvsSIjpd4bRU5D1faxJOaE3"&amp;"4GQM5-c/edit?usp=sharing"",""รวมใต้!M341"")"),850000)</f>
        <v>850000</v>
      </c>
      <c r="N341" s="42">
        <f ca="1">IFERROR(__xludf.DUMMYFUNCTION("IMPORTRANGE(""https://docs.google.com/spreadsheets/d/12pGRKgvn2b31Uz_fjAl3XPzZUM_F2_O-zAHL2XHEPZg/edit?usp=sharing"",""รวมเหนือ!N341"")+IMPORTRANGE(""https://docs.google.com/spreadsheets/d/1c0UfJUA6nE6esVMy0kRcX_PENtt96DMxicQpqi3tips/edit?usp=sharing"","""&amp;"รวมตะวันออกเฉียงเหนือ!N341"")+IMPORTRANGE(""https://docs.google.com/spreadsheets/d/1iNWbYmj0agxPDl_yJgGu1eIremFPVMUuMWUKAjBzvrk/edit?usp=sharing"",""รวมกลาง!N341"")+IMPORTRANGE(""https://docs.google.com/spreadsheets/d/1uenpWDAH2bchvfvsSIjpd4bRU5D1faxJOaE3"&amp;"4GQM5-c/edit?usp=sharing"",""รวมใต้!N341"")"),850000)</f>
        <v>850000</v>
      </c>
      <c r="O341" s="42">
        <f t="shared" ca="1" si="234"/>
        <v>100</v>
      </c>
      <c r="P341" s="42">
        <f t="shared" ca="1" si="235"/>
        <v>100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</row>
    <row r="342" spans="1:21" ht="19.5" x14ac:dyDescent="0.3">
      <c r="A342" s="152"/>
      <c r="B342" s="153"/>
      <c r="C342" s="143" t="s">
        <v>18</v>
      </c>
      <c r="D342" s="207" t="s">
        <v>38</v>
      </c>
      <c r="E342" s="155"/>
      <c r="F342" s="155"/>
      <c r="G342" s="156"/>
      <c r="H342" s="38"/>
      <c r="I342" s="40"/>
      <c r="J342" s="40"/>
      <c r="K342" s="41"/>
      <c r="L342" s="41"/>
      <c r="M342" s="41"/>
      <c r="N342" s="41"/>
      <c r="O342" s="150"/>
      <c r="P342" s="150"/>
      <c r="Q342" s="41"/>
      <c r="R342" s="41"/>
      <c r="S342" s="41"/>
      <c r="T342" s="150"/>
      <c r="U342" s="150"/>
    </row>
    <row r="343" spans="1:21" ht="19.5" x14ac:dyDescent="0.3">
      <c r="A343" s="216"/>
      <c r="B343" s="219"/>
      <c r="C343" s="217"/>
      <c r="D343" s="219"/>
      <c r="E343" s="317" t="s">
        <v>138</v>
      </c>
      <c r="F343" s="219"/>
      <c r="G343" s="220"/>
      <c r="H343" s="221" t="s">
        <v>35</v>
      </c>
      <c r="I343" s="222">
        <v>0</v>
      </c>
      <c r="J343" s="222">
        <f ca="1">J344+J347+J348+J349</f>
        <v>242315</v>
      </c>
      <c r="K343" s="223">
        <v>0</v>
      </c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</row>
    <row r="344" spans="1:21" ht="18.75" hidden="1" x14ac:dyDescent="0.25">
      <c r="A344" s="213"/>
      <c r="B344" s="36"/>
      <c r="C344" s="170"/>
      <c r="D344" s="159"/>
      <c r="E344" s="163" t="s">
        <v>139</v>
      </c>
      <c r="F344" s="36"/>
      <c r="G344" s="38"/>
      <c r="H344" s="215" t="s">
        <v>35</v>
      </c>
      <c r="I344" s="176">
        <f ca="1">IFERROR(__xludf.DUMMYFUNCTION("IMPORTRANGE(""https://docs.google.com/spreadsheets/d/12pGRKgvn2b31Uz_fjAl3XPzZUM_F2_O-zAHL2XHEPZg/edit?usp=sharing"",""รวมเหนือ!I344"")+IMPORTRANGE(""https://docs.google.com/spreadsheets/d/1c0UfJUA6nE6esVMy0kRcX_PENtt96DMxicQpqi3tips/edit?usp=sharing"","""&amp;"รวมตะวันออกเฉียงเหนือ!I344"")+IMPORTRANGE(""https://docs.google.com/spreadsheets/d/1iNWbYmj0agxPDl_yJgGu1eIremFPVMUuMWUKAjBzvrk/edit?usp=sharing"",""รวมกลาง!I344"")+IMPORTRANGE(""https://docs.google.com/spreadsheets/d/1uenpWDAH2bchvfvsSIjpd4bRU5D1faxJOaE3"&amp;"4GQM5-c/edit?usp=sharing"",""รวมใต้!I344"")"),0)</f>
        <v>0</v>
      </c>
      <c r="J344" s="176">
        <f ca="1">IFERROR(__xludf.DUMMYFUNCTION("IMPORTRANGE(""https://docs.google.com/spreadsheets/d/12pGRKgvn2b31Uz_fjAl3XPzZUM_F2_O-zAHL2XHEPZg/edit?usp=sharing"",""รวมเหนือ!J344"")+IMPORTRANGE(""https://docs.google.com/spreadsheets/d/1c0UfJUA6nE6esVMy0kRcX_PENtt96DMxicQpqi3tips/edit?usp=sharing"","""&amp;"รวมตะวันออกเฉียงเหนือ!J344"")+IMPORTRANGE(""https://docs.google.com/spreadsheets/d/1iNWbYmj0agxPDl_yJgGu1eIremFPVMUuMWUKAjBzvrk/edit?usp=sharing"",""รวมกลาง!J344"")+IMPORTRANGE(""https://docs.google.com/spreadsheets/d/1uenpWDAH2bchvfvsSIjpd4bRU5D1faxJOaE3"&amp;"4GQM5-c/edit?usp=sharing"",""รวมใต้!J344"")"),227662)</f>
        <v>227662</v>
      </c>
      <c r="K344" s="42">
        <f ca="1">IF(I344&gt;0,J344*100/I344,0)</f>
        <v>0</v>
      </c>
      <c r="L344" s="41"/>
      <c r="M344" s="41"/>
      <c r="N344" s="41"/>
      <c r="O344" s="41"/>
      <c r="P344" s="41"/>
      <c r="Q344" s="41"/>
      <c r="R344" s="41"/>
      <c r="S344" s="41"/>
      <c r="T344" s="41"/>
      <c r="U344" s="41"/>
    </row>
    <row r="345" spans="1:21" ht="18.75" x14ac:dyDescent="0.25">
      <c r="A345" s="213"/>
      <c r="B345" s="36"/>
      <c r="C345" s="170"/>
      <c r="D345" s="159"/>
      <c r="E345" s="163" t="s">
        <v>140</v>
      </c>
      <c r="F345" s="36"/>
      <c r="G345" s="38"/>
      <c r="H345" s="186"/>
      <c r="I345" s="40"/>
      <c r="J345" s="40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</row>
    <row r="346" spans="1:21" ht="18.75" x14ac:dyDescent="0.25">
      <c r="A346" s="213"/>
      <c r="B346" s="36"/>
      <c r="C346" s="170"/>
      <c r="D346" s="159"/>
      <c r="E346" s="159"/>
      <c r="F346" s="163" t="s">
        <v>141</v>
      </c>
      <c r="G346" s="38"/>
      <c r="H346" s="184" t="s">
        <v>142</v>
      </c>
      <c r="I346" s="176">
        <f ca="1">IFERROR(__xludf.DUMMYFUNCTION("IMPORTRANGE(""https://docs.google.com/spreadsheets/d/12pGRKgvn2b31Uz_fjAl3XPzZUM_F2_O-zAHL2XHEPZg/edit?usp=sharing"",""รวมเหนือ!I346"")+IMPORTRANGE(""https://docs.google.com/spreadsheets/d/1c0UfJUA6nE6esVMy0kRcX_PENtt96DMxicQpqi3tips/edit?usp=sharing"","""&amp;"รวมตะวันออกเฉียงเหนือ!I346"")+IMPORTRANGE(""https://docs.google.com/spreadsheets/d/1iNWbYmj0agxPDl_yJgGu1eIremFPVMUuMWUKAjBzvrk/edit?usp=sharing"",""รวมกลาง!I346"")+IMPORTRANGE(""https://docs.google.com/spreadsheets/d/1uenpWDAH2bchvfvsSIjpd4bRU5D1faxJOaE3"&amp;"4GQM5-c/edit?usp=sharing"",""รวมใต้!I346"")"),400)</f>
        <v>400</v>
      </c>
      <c r="J346" s="176">
        <f ca="1">IFERROR(__xludf.DUMMYFUNCTION("IMPORTRANGE(""https://docs.google.com/spreadsheets/d/12pGRKgvn2b31Uz_fjAl3XPzZUM_F2_O-zAHL2XHEPZg/edit?usp=sharing"",""รวมเหนือ!J346"")+IMPORTRANGE(""https://docs.google.com/spreadsheets/d/1c0UfJUA6nE6esVMy0kRcX_PENtt96DMxicQpqi3tips/edit?usp=sharing"","""&amp;"รวมตะวันออกเฉียงเหนือ!J346"")+IMPORTRANGE(""https://docs.google.com/spreadsheets/d/1iNWbYmj0agxPDl_yJgGu1eIremFPVMUuMWUKAjBzvrk/edit?usp=sharing"",""รวมกลาง!J346"")+IMPORTRANGE(""https://docs.google.com/spreadsheets/d/1uenpWDAH2bchvfvsSIjpd4bRU5D1faxJOaE3"&amp;"4GQM5-c/edit?usp=sharing"",""รวมใต้!J346"")"),465)</f>
        <v>465</v>
      </c>
      <c r="K346" s="42">
        <f ca="1">IF(I346&gt;0,J346*100/I346,0)</f>
        <v>116.25</v>
      </c>
      <c r="L346" s="41"/>
      <c r="M346" s="41"/>
      <c r="N346" s="41"/>
      <c r="O346" s="41"/>
      <c r="P346" s="41"/>
      <c r="Q346" s="41"/>
      <c r="R346" s="41"/>
      <c r="S346" s="41"/>
      <c r="T346" s="41"/>
      <c r="U346" s="41"/>
    </row>
    <row r="347" spans="1:21" ht="18.75" hidden="1" x14ac:dyDescent="0.25">
      <c r="A347" s="213"/>
      <c r="B347" s="36"/>
      <c r="C347" s="170"/>
      <c r="D347" s="159"/>
      <c r="E347" s="159"/>
      <c r="F347" s="163" t="s">
        <v>143</v>
      </c>
      <c r="G347" s="38"/>
      <c r="H347" s="184" t="s">
        <v>35</v>
      </c>
      <c r="I347" s="40"/>
      <c r="J347" s="176">
        <f ca="1">IFERROR(__xludf.DUMMYFUNCTION("IMPORTRANGE(""https://docs.google.com/spreadsheets/d/12pGRKgvn2b31Uz_fjAl3XPzZUM_F2_O-zAHL2XHEPZg/edit?usp=sharing"",""รวมเหนือ!J347"")+IMPORTRANGE(""https://docs.google.com/spreadsheets/d/1c0UfJUA6nE6esVMy0kRcX_PENtt96DMxicQpqi3tips/edit?usp=sharing"","""&amp;"รวมตะวันออกเฉียงเหนือ!J347"")+IMPORTRANGE(""https://docs.google.com/spreadsheets/d/1iNWbYmj0agxPDl_yJgGu1eIremFPVMUuMWUKAjBzvrk/edit?usp=sharing"",""รวมกลาง!J347"")+IMPORTRANGE(""https://docs.google.com/spreadsheets/d/1uenpWDAH2bchvfvsSIjpd4bRU5D1faxJOaE3"&amp;"4GQM5-c/edit?usp=sharing"",""รวมใต้!J347"")"),7150)</f>
        <v>7150</v>
      </c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</row>
    <row r="348" spans="1:21" ht="18.75" hidden="1" x14ac:dyDescent="0.25">
      <c r="A348" s="213"/>
      <c r="B348" s="36"/>
      <c r="C348" s="170"/>
      <c r="D348" s="159"/>
      <c r="E348" s="163" t="s">
        <v>144</v>
      </c>
      <c r="F348" s="159"/>
      <c r="G348" s="38"/>
      <c r="H348" s="184" t="s">
        <v>35</v>
      </c>
      <c r="I348" s="40"/>
      <c r="J348" s="176">
        <f ca="1">IFERROR(__xludf.DUMMYFUNCTION("IMPORTRANGE(""https://docs.google.com/spreadsheets/d/12pGRKgvn2b31Uz_fjAl3XPzZUM_F2_O-zAHL2XHEPZg/edit?usp=sharing"",""รวมเหนือ!J348"")+IMPORTRANGE(""https://docs.google.com/spreadsheets/d/1c0UfJUA6nE6esVMy0kRcX_PENtt96DMxicQpqi3tips/edit?usp=sharing"","""&amp;"รวมตะวันออกเฉียงเหนือ!J348"")+IMPORTRANGE(""https://docs.google.com/spreadsheets/d/1iNWbYmj0agxPDl_yJgGu1eIremFPVMUuMWUKAjBzvrk/edit?usp=sharing"",""รวมกลาง!J348"")+IMPORTRANGE(""https://docs.google.com/spreadsheets/d/1uenpWDAH2bchvfvsSIjpd4bRU5D1faxJOaE3"&amp;"4GQM5-c/edit?usp=sharing"",""รวมใต้!J348"")"),5412)</f>
        <v>5412</v>
      </c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</row>
    <row r="349" spans="1:21" ht="18.75" hidden="1" x14ac:dyDescent="0.25">
      <c r="A349" s="213"/>
      <c r="B349" s="36"/>
      <c r="C349" s="170"/>
      <c r="D349" s="153"/>
      <c r="E349" s="163" t="s">
        <v>145</v>
      </c>
      <c r="F349" s="159"/>
      <c r="G349" s="38"/>
      <c r="H349" s="184" t="s">
        <v>35</v>
      </c>
      <c r="I349" s="40"/>
      <c r="J349" s="176">
        <f ca="1">IFERROR(__xludf.DUMMYFUNCTION("IMPORTRANGE(""https://docs.google.com/spreadsheets/d/12pGRKgvn2b31Uz_fjAl3XPzZUM_F2_O-zAHL2XHEPZg/edit?usp=sharing"",""รวมเหนือ!J349"")+IMPORTRANGE(""https://docs.google.com/spreadsheets/d/1c0UfJUA6nE6esVMy0kRcX_PENtt96DMxicQpqi3tips/edit?usp=sharing"","""&amp;"รวมตะวันออกเฉียงเหนือ!J349"")+IMPORTRANGE(""https://docs.google.com/spreadsheets/d/1iNWbYmj0agxPDl_yJgGu1eIremFPVMUuMWUKAjBzvrk/edit?usp=sharing"",""รวมกลาง!J349"")+IMPORTRANGE(""https://docs.google.com/spreadsheets/d/1uenpWDAH2bchvfvsSIjpd4bRU5D1faxJOaE3"&amp;"4GQM5-c/edit?usp=sharing"",""รวมใต้!J349"")"),2091)</f>
        <v>2091</v>
      </c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</row>
    <row r="350" spans="1:21" ht="16.5" x14ac:dyDescent="0.25">
      <c r="A350" s="213"/>
      <c r="B350" s="36"/>
      <c r="C350" s="170"/>
      <c r="D350" s="318" t="str">
        <f ca="1">IFERROR(__xludf.DUMMYFUNCTION("IMPORTRANGE(""https://docs.google.com/spreadsheets/d/1gNPQPjxUj63ZZXIIIm2aX4x3w7PhAZpC9JuXdbpWwUQ/edit?usp=sharing"",""Sheet1!b3"")")," [ข้อมูลจาก ระบบศูนย์บริการประชาชน ข้อมูล ณ 1 ต.ค. 67 เวลา 14.27 น.]")</f>
        <v xml:space="preserve"> [ข้อมูลจาก ระบบศูนย์บริการประชาชน ข้อมูล ณ 1 ต.ค. 67 เวลา 14.27 น.]</v>
      </c>
      <c r="E350" s="36"/>
      <c r="F350" s="36"/>
      <c r="G350" s="38"/>
      <c r="H350" s="186"/>
      <c r="I350" s="40"/>
      <c r="J350" s="40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</row>
    <row r="351" spans="1:21" ht="19.5" x14ac:dyDescent="0.3">
      <c r="A351" s="216"/>
      <c r="B351" s="219"/>
      <c r="C351" s="217"/>
      <c r="D351" s="219"/>
      <c r="E351" s="319" t="s">
        <v>146</v>
      </c>
      <c r="F351" s="219"/>
      <c r="G351" s="220"/>
      <c r="H351" s="221" t="s">
        <v>35</v>
      </c>
      <c r="I351" s="222">
        <v>0</v>
      </c>
      <c r="J351" s="222">
        <f ca="1">J353+J354</f>
        <v>447841</v>
      </c>
      <c r="K351" s="223">
        <v>0</v>
      </c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</row>
    <row r="352" spans="1:21" ht="18.75" hidden="1" x14ac:dyDescent="0.25">
      <c r="A352" s="213"/>
      <c r="B352" s="36"/>
      <c r="C352" s="170"/>
      <c r="D352" s="159"/>
      <c r="E352" s="163" t="s">
        <v>147</v>
      </c>
      <c r="F352" s="36"/>
      <c r="G352" s="38"/>
      <c r="H352" s="147" t="s">
        <v>35</v>
      </c>
      <c r="I352" s="40"/>
      <c r="J352" s="176">
        <f ca="1">IFERROR(__xludf.DUMMYFUNCTION("IMPORTRANGE(""https://docs.google.com/spreadsheets/d/12pGRKgvn2b31Uz_fjAl3XPzZUM_F2_O-zAHL2XHEPZg/edit?usp=sharing"",""รวมเหนือ!J352"")+IMPORTRANGE(""https://docs.google.com/spreadsheets/d/1c0UfJUA6nE6esVMy0kRcX_PENtt96DMxicQpqi3tips/edit?usp=sharing"","""&amp;"รวมตะวันออกเฉียงเหนือ!J352"")+IMPORTRANGE(""https://docs.google.com/spreadsheets/d/1iNWbYmj0agxPDl_yJgGu1eIremFPVMUuMWUKAjBzvrk/edit?usp=sharing"",""รวมกลาง!J352"")+IMPORTRANGE(""https://docs.google.com/spreadsheets/d/1uenpWDAH2bchvfvsSIjpd4bRU5D1faxJOaE3"&amp;"4GQM5-c/edit?usp=sharing"",""รวมใต้!J352"")"),94232)</f>
        <v>94232</v>
      </c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</row>
    <row r="353" spans="1:21" ht="18.75" x14ac:dyDescent="0.25">
      <c r="A353" s="213"/>
      <c r="B353" s="36"/>
      <c r="C353" s="170"/>
      <c r="D353" s="159"/>
      <c r="E353" s="163" t="s">
        <v>148</v>
      </c>
      <c r="F353" s="36"/>
      <c r="G353" s="38"/>
      <c r="H353" s="147" t="s">
        <v>35</v>
      </c>
      <c r="I353" s="40"/>
      <c r="J353" s="176">
        <f ca="1">IFERROR(__xludf.DUMMYFUNCTION("IMPORTRANGE(""https://docs.google.com/spreadsheets/d/12pGRKgvn2b31Uz_fjAl3XPzZUM_F2_O-zAHL2XHEPZg/edit?usp=sharing"",""รวมเหนือ!J353"")+IMPORTRANGE(""https://docs.google.com/spreadsheets/d/1c0UfJUA6nE6esVMy0kRcX_PENtt96DMxicQpqi3tips/edit?usp=sharing"","""&amp;"รวมตะวันออกเฉียงเหนือ!J353"")+IMPORTRANGE(""https://docs.google.com/spreadsheets/d/1iNWbYmj0agxPDl_yJgGu1eIremFPVMUuMWUKAjBzvrk/edit?usp=sharing"",""รวมกลาง!J353"")+IMPORTRANGE(""https://docs.google.com/spreadsheets/d/1uenpWDAH2bchvfvsSIjpd4bRU5D1faxJOaE3"&amp;"4GQM5-c/edit?usp=sharing"",""รวมใต้!J353"")"),370192)</f>
        <v>370192</v>
      </c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</row>
    <row r="354" spans="1:21" ht="18.75" x14ac:dyDescent="0.25">
      <c r="A354" s="213"/>
      <c r="B354" s="36"/>
      <c r="C354" s="170"/>
      <c r="D354" s="318"/>
      <c r="E354" s="163" t="s">
        <v>149</v>
      </c>
      <c r="F354" s="36"/>
      <c r="G354" s="38"/>
      <c r="H354" s="147" t="s">
        <v>35</v>
      </c>
      <c r="I354" s="40"/>
      <c r="J354" s="176">
        <f ca="1">IFERROR(__xludf.DUMMYFUNCTION("IMPORTRANGE(""https://docs.google.com/spreadsheets/d/12pGRKgvn2b31Uz_fjAl3XPzZUM_F2_O-zAHL2XHEPZg/edit?usp=sharing"",""รวมเหนือ!J354"")+IMPORTRANGE(""https://docs.google.com/spreadsheets/d/1c0UfJUA6nE6esVMy0kRcX_PENtt96DMxicQpqi3tips/edit?usp=sharing"","""&amp;"รวมตะวันออกเฉียงเหนือ!J354"")+IMPORTRANGE(""https://docs.google.com/spreadsheets/d/1iNWbYmj0agxPDl_yJgGu1eIremFPVMUuMWUKAjBzvrk/edit?usp=sharing"",""รวมกลาง!J354"")+IMPORTRANGE(""https://docs.google.com/spreadsheets/d/1uenpWDAH2bchvfvsSIjpd4bRU5D1faxJOaE3"&amp;"4GQM5-c/edit?usp=sharing"",""รวมใต้!J354"")"),77649)</f>
        <v>77649</v>
      </c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</row>
    <row r="355" spans="1:21" ht="19.5" x14ac:dyDescent="0.3">
      <c r="A355" s="302"/>
      <c r="B355" s="303" t="s">
        <v>150</v>
      </c>
      <c r="C355" s="316"/>
      <c r="D355" s="304"/>
      <c r="E355" s="304"/>
      <c r="F355" s="304"/>
      <c r="G355" s="305"/>
      <c r="H355" s="305"/>
      <c r="I355" s="320"/>
      <c r="J355" s="320"/>
      <c r="K355" s="309"/>
      <c r="L355" s="309"/>
      <c r="M355" s="309"/>
      <c r="N355" s="309"/>
      <c r="O355" s="309"/>
      <c r="P355" s="309"/>
      <c r="Q355" s="309"/>
      <c r="R355" s="309"/>
      <c r="S355" s="309"/>
      <c r="T355" s="309"/>
      <c r="U355" s="309"/>
    </row>
    <row r="356" spans="1:21" ht="19.5" x14ac:dyDescent="0.3">
      <c r="A356" s="142"/>
      <c r="B356" s="36"/>
      <c r="C356" s="143" t="s">
        <v>18</v>
      </c>
      <c r="D356" s="144" t="s">
        <v>19</v>
      </c>
      <c r="E356" s="36"/>
      <c r="F356" s="36"/>
      <c r="G356" s="38"/>
      <c r="H356" s="145" t="s">
        <v>14</v>
      </c>
      <c r="I356" s="40"/>
      <c r="J356" s="40"/>
      <c r="K356" s="41"/>
      <c r="L356" s="146">
        <f t="shared" ref="L356:N356" ca="1" si="247">L357+L358</f>
        <v>97707500</v>
      </c>
      <c r="M356" s="146">
        <f t="shared" ca="1" si="247"/>
        <v>97707500</v>
      </c>
      <c r="N356" s="146">
        <f t="shared" ca="1" si="247"/>
        <v>97684343.669999987</v>
      </c>
      <c r="O356" s="146">
        <f t="shared" ref="O356:O364" ca="1" si="248">IF(L356&gt;0,N356*100/L356,0)</f>
        <v>99.976300355653336</v>
      </c>
      <c r="P356" s="146">
        <f t="shared" ref="P356:P364" ca="1" si="249">IF(M356&gt;0,N356*100/M356,0)</f>
        <v>99.976300355653336</v>
      </c>
      <c r="Q356" s="146">
        <f t="shared" ref="Q356:S356" si="250">Q357+Q358</f>
        <v>0</v>
      </c>
      <c r="R356" s="146">
        <f t="shared" si="250"/>
        <v>0</v>
      </c>
      <c r="S356" s="146">
        <f t="shared" si="250"/>
        <v>0</v>
      </c>
      <c r="T356" s="146">
        <f t="shared" ref="T356:T359" si="251">IF(Q356&gt;0,S356*100/Q356,0)</f>
        <v>0</v>
      </c>
      <c r="U356" s="146">
        <f t="shared" ref="U356:U359" si="252">IF(R356&gt;0,S356*100/R356,0)</f>
        <v>0</v>
      </c>
    </row>
    <row r="357" spans="1:21" ht="18.75" x14ac:dyDescent="0.25">
      <c r="A357" s="142"/>
      <c r="B357" s="36"/>
      <c r="C357" s="36"/>
      <c r="D357" s="36"/>
      <c r="E357" s="43" t="s">
        <v>20</v>
      </c>
      <c r="F357" s="36"/>
      <c r="G357" s="38"/>
      <c r="H357" s="147" t="s">
        <v>14</v>
      </c>
      <c r="I357" s="40"/>
      <c r="J357" s="40"/>
      <c r="K357" s="41"/>
      <c r="L357" s="42">
        <f t="shared" ref="L357:N357" ca="1" si="253">L360+L363</f>
        <v>43864330</v>
      </c>
      <c r="M357" s="42">
        <f t="shared" ca="1" si="253"/>
        <v>33766488.200000003</v>
      </c>
      <c r="N357" s="42">
        <f t="shared" ca="1" si="253"/>
        <v>33743332.689999998</v>
      </c>
      <c r="O357" s="42">
        <f t="shared" ca="1" si="248"/>
        <v>76.926588619956121</v>
      </c>
      <c r="P357" s="42">
        <f t="shared" ca="1" si="249"/>
        <v>99.931424583264771</v>
      </c>
      <c r="Q357" s="42">
        <f t="shared" ref="Q357:S357" si="254">Q360+Q363</f>
        <v>0</v>
      </c>
      <c r="R357" s="42">
        <f t="shared" si="254"/>
        <v>0</v>
      </c>
      <c r="S357" s="42">
        <f t="shared" si="254"/>
        <v>0</v>
      </c>
      <c r="T357" s="42">
        <f t="shared" si="251"/>
        <v>0</v>
      </c>
      <c r="U357" s="42">
        <f t="shared" si="252"/>
        <v>0</v>
      </c>
    </row>
    <row r="358" spans="1:21" ht="18.75" x14ac:dyDescent="0.25">
      <c r="A358" s="142"/>
      <c r="B358" s="36"/>
      <c r="C358" s="36"/>
      <c r="D358" s="36"/>
      <c r="E358" s="43" t="s">
        <v>21</v>
      </c>
      <c r="F358" s="36"/>
      <c r="G358" s="38"/>
      <c r="H358" s="147" t="s">
        <v>14</v>
      </c>
      <c r="I358" s="40"/>
      <c r="J358" s="40"/>
      <c r="K358" s="41"/>
      <c r="L358" s="42">
        <f t="shared" ref="L358:N358" ca="1" si="255">L361+L364</f>
        <v>53843170</v>
      </c>
      <c r="M358" s="42">
        <f t="shared" ca="1" si="255"/>
        <v>63941011.799999997</v>
      </c>
      <c r="N358" s="42">
        <f t="shared" ca="1" si="255"/>
        <v>63941010.979999997</v>
      </c>
      <c r="O358" s="42">
        <f t="shared" ca="1" si="248"/>
        <v>118.75417249764455</v>
      </c>
      <c r="P358" s="42">
        <f t="shared" ca="1" si="249"/>
        <v>99.999998717568005</v>
      </c>
      <c r="Q358" s="42">
        <f t="shared" ref="Q358:S358" si="256">Q361+Q364</f>
        <v>0</v>
      </c>
      <c r="R358" s="42">
        <f t="shared" si="256"/>
        <v>0</v>
      </c>
      <c r="S358" s="42">
        <f t="shared" si="256"/>
        <v>0</v>
      </c>
      <c r="T358" s="42">
        <f t="shared" si="251"/>
        <v>0</v>
      </c>
      <c r="U358" s="42">
        <f t="shared" si="252"/>
        <v>0</v>
      </c>
    </row>
    <row r="359" spans="1:21" ht="18.75" x14ac:dyDescent="0.25">
      <c r="A359" s="142"/>
      <c r="B359" s="36"/>
      <c r="C359" s="36"/>
      <c r="D359" s="37" t="s">
        <v>22</v>
      </c>
      <c r="E359" s="36"/>
      <c r="F359" s="36"/>
      <c r="G359" s="38"/>
      <c r="H359" s="148" t="s">
        <v>14</v>
      </c>
      <c r="I359" s="149"/>
      <c r="J359" s="149"/>
      <c r="K359" s="150"/>
      <c r="L359" s="42">
        <f t="shared" ref="L359:N359" ca="1" si="257">L360+L361</f>
        <v>97707500</v>
      </c>
      <c r="M359" s="42">
        <f t="shared" ca="1" si="257"/>
        <v>97707500</v>
      </c>
      <c r="N359" s="42">
        <f t="shared" ca="1" si="257"/>
        <v>97684343.669999987</v>
      </c>
      <c r="O359" s="42">
        <f t="shared" ca="1" si="248"/>
        <v>99.976300355653336</v>
      </c>
      <c r="P359" s="42">
        <f t="shared" ca="1" si="249"/>
        <v>99.976300355653336</v>
      </c>
      <c r="Q359" s="42">
        <f t="shared" ref="Q359:S359" si="258">Q360+Q361</f>
        <v>0</v>
      </c>
      <c r="R359" s="42">
        <f t="shared" si="258"/>
        <v>0</v>
      </c>
      <c r="S359" s="42">
        <f t="shared" si="258"/>
        <v>0</v>
      </c>
      <c r="T359" s="42">
        <f t="shared" si="251"/>
        <v>0</v>
      </c>
      <c r="U359" s="42">
        <f t="shared" si="252"/>
        <v>0</v>
      </c>
    </row>
    <row r="360" spans="1:21" ht="18.75" x14ac:dyDescent="0.25">
      <c r="A360" s="142"/>
      <c r="B360" s="36"/>
      <c r="C360" s="36"/>
      <c r="D360" s="36"/>
      <c r="E360" s="43" t="s">
        <v>36</v>
      </c>
      <c r="F360" s="36"/>
      <c r="G360" s="38"/>
      <c r="H360" s="148" t="s">
        <v>14</v>
      </c>
      <c r="I360" s="149"/>
      <c r="J360" s="149"/>
      <c r="K360" s="150"/>
      <c r="L360" s="42">
        <f ca="1">IFERROR(__xludf.DUMMYFUNCTION("IMPORTRANGE(""https://docs.google.com/spreadsheets/d/1-uDff_7J0KD5mKrp0Vvzr7lt3OU09vwQwhkpOPPYv2Y/edit?usp=sharing"",""งบพรบ!FC9"")"),43864330)</f>
        <v>43864330</v>
      </c>
      <c r="M360" s="42">
        <f ca="1">IFERROR(__xludf.DUMMYFUNCTION("IMPORTRANGE(""https://docs.google.com/spreadsheets/d/1-uDff_7J0KD5mKrp0Vvzr7lt3OU09vwQwhkpOPPYv2Y/edit?usp=sharing"",""งบพรบ!FH9"")"),33766488.2)</f>
        <v>33766488.200000003</v>
      </c>
      <c r="N360" s="42">
        <f ca="1">IFERROR(__xludf.DUMMYFUNCTION("IMPORTRANGE(""https://docs.google.com/spreadsheets/d/1-uDff_7J0KD5mKrp0Vvzr7lt3OU09vwQwhkpOPPYv2Y/edit?usp=sharing"",""งบพรบ!FJ9"")"),33743332.69)</f>
        <v>33743332.689999998</v>
      </c>
      <c r="O360" s="42">
        <f t="shared" ca="1" si="248"/>
        <v>76.926588619956121</v>
      </c>
      <c r="P360" s="42">
        <f t="shared" ca="1" si="249"/>
        <v>99.931424583264771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</row>
    <row r="361" spans="1:21" ht="18.75" x14ac:dyDescent="0.25">
      <c r="A361" s="142"/>
      <c r="B361" s="36"/>
      <c r="C361" s="36"/>
      <c r="D361" s="36"/>
      <c r="E361" s="43" t="s">
        <v>37</v>
      </c>
      <c r="F361" s="36"/>
      <c r="G361" s="38"/>
      <c r="H361" s="148" t="s">
        <v>14</v>
      </c>
      <c r="I361" s="149"/>
      <c r="J361" s="149"/>
      <c r="K361" s="150"/>
      <c r="L361" s="42">
        <f ca="1">IFERROR(__xludf.DUMMYFUNCTION("IMPORTRANGE(""https://docs.google.com/spreadsheets/d/12pGRKgvn2b31Uz_fjAl3XPzZUM_F2_O-zAHL2XHEPZg/edit?usp=sharing"",""รวมเหนือ!L361"")+IMPORTRANGE(""https://docs.google.com/spreadsheets/d/1c0UfJUA6nE6esVMy0kRcX_PENtt96DMxicQpqi3tips/edit?usp=sharing"","""&amp;"รวมตะวันออกเฉียงเหนือ!L361"")+IMPORTRANGE(""https://docs.google.com/spreadsheets/d/1iNWbYmj0agxPDl_yJgGu1eIremFPVMUuMWUKAjBzvrk/edit?usp=sharing"",""รวมกลาง!L361"")+IMPORTRANGE(""https://docs.google.com/spreadsheets/d/1uenpWDAH2bchvfvsSIjpd4bRU5D1faxJOaE3"&amp;"4GQM5-c/edit?usp=sharing"",""รวมใต้!L361"")"),53843170)</f>
        <v>53843170</v>
      </c>
      <c r="M361" s="42">
        <f ca="1">IFERROR(__xludf.DUMMYFUNCTION("IMPORTRANGE(""https://docs.google.com/spreadsheets/d/12pGRKgvn2b31Uz_fjAl3XPzZUM_F2_O-zAHL2XHEPZg/edit?usp=sharing"",""รวมเหนือ!M361"")+IMPORTRANGE(""https://docs.google.com/spreadsheets/d/1c0UfJUA6nE6esVMy0kRcX_PENtt96DMxicQpqi3tips/edit?usp=sharing"","""&amp;"รวมตะวันออกเฉียงเหนือ!M361"")+IMPORTRANGE(""https://docs.google.com/spreadsheets/d/1iNWbYmj0agxPDl_yJgGu1eIremFPVMUuMWUKAjBzvrk/edit?usp=sharing"",""รวมกลาง!M361"")+IMPORTRANGE(""https://docs.google.com/spreadsheets/d/1uenpWDAH2bchvfvsSIjpd4bRU5D1faxJOaE3"&amp;"4GQM5-c/edit?usp=sharing"",""รวมใต้!M361"")"),63941011.8)</f>
        <v>63941011.799999997</v>
      </c>
      <c r="N361" s="42">
        <f ca="1">IFERROR(__xludf.DUMMYFUNCTION("IMPORTRANGE(""https://docs.google.com/spreadsheets/d/12pGRKgvn2b31Uz_fjAl3XPzZUM_F2_O-zAHL2XHEPZg/edit?usp=sharing"",""รวมเหนือ!N361"")+IMPORTRANGE(""https://docs.google.com/spreadsheets/d/1c0UfJUA6nE6esVMy0kRcX_PENtt96DMxicQpqi3tips/edit?usp=sharing"","""&amp;"รวมตะวันออกเฉียงเหนือ!N361"")+IMPORTRANGE(""https://docs.google.com/spreadsheets/d/1iNWbYmj0agxPDl_yJgGu1eIremFPVMUuMWUKAjBzvrk/edit?usp=sharing"",""รวมกลาง!N361"")+IMPORTRANGE(""https://docs.google.com/spreadsheets/d/1uenpWDAH2bchvfvsSIjpd4bRU5D1faxJOaE3"&amp;"4GQM5-c/edit?usp=sharing"",""รวมใต้!N361"")"),63941010.98)</f>
        <v>63941010.979999997</v>
      </c>
      <c r="O361" s="42">
        <f t="shared" ca="1" si="248"/>
        <v>118.75417249764455</v>
      </c>
      <c r="P361" s="42">
        <f t="shared" ca="1" si="249"/>
        <v>99.999998717568005</v>
      </c>
      <c r="Q361" s="42">
        <v>0</v>
      </c>
      <c r="R361" s="42">
        <v>0</v>
      </c>
      <c r="S361" s="42">
        <v>0</v>
      </c>
      <c r="T361" s="42">
        <v>0</v>
      </c>
      <c r="U361" s="42">
        <v>0</v>
      </c>
    </row>
    <row r="362" spans="1:21" ht="18.75" x14ac:dyDescent="0.25">
      <c r="A362" s="142"/>
      <c r="B362" s="36"/>
      <c r="C362" s="36"/>
      <c r="D362" s="37" t="s">
        <v>23</v>
      </c>
      <c r="E362" s="36"/>
      <c r="F362" s="36"/>
      <c r="G362" s="38"/>
      <c r="H362" s="151" t="s">
        <v>14</v>
      </c>
      <c r="I362" s="149"/>
      <c r="J362" s="149"/>
      <c r="K362" s="150"/>
      <c r="L362" s="42">
        <f t="shared" ref="L362:N362" ca="1" si="259">L363+L364</f>
        <v>0</v>
      </c>
      <c r="M362" s="42">
        <f t="shared" ca="1" si="259"/>
        <v>0</v>
      </c>
      <c r="N362" s="42">
        <f t="shared" ca="1" si="259"/>
        <v>0</v>
      </c>
      <c r="O362" s="42">
        <f t="shared" ca="1" si="248"/>
        <v>0</v>
      </c>
      <c r="P362" s="42">
        <f t="shared" ca="1" si="249"/>
        <v>0</v>
      </c>
      <c r="Q362" s="42">
        <f t="shared" ref="Q362:S362" si="260">Q363+Q364</f>
        <v>0</v>
      </c>
      <c r="R362" s="42">
        <f t="shared" si="260"/>
        <v>0</v>
      </c>
      <c r="S362" s="42">
        <f t="shared" si="260"/>
        <v>0</v>
      </c>
      <c r="T362" s="42">
        <f>IF(Q362&gt;0,S362*100/Q362,0)</f>
        <v>0</v>
      </c>
      <c r="U362" s="42">
        <f>IF(R362&gt;0,S362*100/R362,0)</f>
        <v>0</v>
      </c>
    </row>
    <row r="363" spans="1:21" ht="18.75" x14ac:dyDescent="0.25">
      <c r="A363" s="142"/>
      <c r="B363" s="36"/>
      <c r="C363" s="36"/>
      <c r="D363" s="36"/>
      <c r="E363" s="43" t="s">
        <v>20</v>
      </c>
      <c r="F363" s="36"/>
      <c r="G363" s="38"/>
      <c r="H363" s="148" t="s">
        <v>14</v>
      </c>
      <c r="I363" s="149"/>
      <c r="J363" s="149"/>
      <c r="K363" s="150"/>
      <c r="L363" s="42">
        <f ca="1">IFERROR(__xludf.DUMMYFUNCTION("IMPORTRANGE(""https://docs.google.com/spreadsheets/d/1-uDff_7J0KD5mKrp0Vvzr7lt3OU09vwQwhkpOPPYv2Y/edit?usp=sharing"",""งบพรบ!FF9"")"),0)</f>
        <v>0</v>
      </c>
      <c r="M363" s="42">
        <f ca="1">IFERROR(__xludf.DUMMYFUNCTION("IMPORTRANGE(""https://docs.google.com/spreadsheets/d/1-uDff_7J0KD5mKrp0Vvzr7lt3OU09vwQwhkpOPPYv2Y/edit?usp=sharing"",""งบพรบ!FI9"")"),0)</f>
        <v>0</v>
      </c>
      <c r="N363" s="42">
        <f ca="1">IFERROR(__xludf.DUMMYFUNCTION("IMPORTRANGE(""https://docs.google.com/spreadsheets/d/1-uDff_7J0KD5mKrp0Vvzr7lt3OU09vwQwhkpOPPYv2Y/edit?usp=sharing"",""งบพรบ!FK9"")"),0)</f>
        <v>0</v>
      </c>
      <c r="O363" s="42">
        <f t="shared" ca="1" si="248"/>
        <v>0</v>
      </c>
      <c r="P363" s="42">
        <f t="shared" ca="1" si="249"/>
        <v>0</v>
      </c>
      <c r="Q363" s="42">
        <v>0</v>
      </c>
      <c r="R363" s="42">
        <v>0</v>
      </c>
      <c r="S363" s="42">
        <v>0</v>
      </c>
      <c r="T363" s="42">
        <v>0</v>
      </c>
      <c r="U363" s="42">
        <v>0</v>
      </c>
    </row>
    <row r="364" spans="1:21" ht="18.75" x14ac:dyDescent="0.25">
      <c r="A364" s="142"/>
      <c r="B364" s="36"/>
      <c r="C364" s="36"/>
      <c r="D364" s="36"/>
      <c r="E364" s="43" t="s">
        <v>21</v>
      </c>
      <c r="F364" s="36"/>
      <c r="G364" s="38"/>
      <c r="H364" s="151" t="s">
        <v>14</v>
      </c>
      <c r="I364" s="149"/>
      <c r="J364" s="149"/>
      <c r="K364" s="150"/>
      <c r="L364" s="42">
        <f ca="1">IFERROR(__xludf.DUMMYFUNCTION("IMPORTRANGE(""https://docs.google.com/spreadsheets/d/12pGRKgvn2b31Uz_fjAl3XPzZUM_F2_O-zAHL2XHEPZg/edit?usp=sharing"",""รวมเหนือ!L364"")+IMPORTRANGE(""https://docs.google.com/spreadsheets/d/1c0UfJUA6nE6esVMy0kRcX_PENtt96DMxicQpqi3tips/edit?usp=sharing"","""&amp;"รวมตะวันออกเฉียงเหนือ!L364"")+IMPORTRANGE(""https://docs.google.com/spreadsheets/d/1iNWbYmj0agxPDl_yJgGu1eIremFPVMUuMWUKAjBzvrk/edit?usp=sharing"",""รวมกลาง!L364"")+IMPORTRANGE(""https://docs.google.com/spreadsheets/d/1uenpWDAH2bchvfvsSIjpd4bRU5D1faxJOaE3"&amp;"4GQM5-c/edit?usp=sharing"",""รวมใต้!L364"")"),0)</f>
        <v>0</v>
      </c>
      <c r="M364" s="42">
        <f ca="1">IFERROR(__xludf.DUMMYFUNCTION("IMPORTRANGE(""https://docs.google.com/spreadsheets/d/12pGRKgvn2b31Uz_fjAl3XPzZUM_F2_O-zAHL2XHEPZg/edit?usp=sharing"",""รวมเหนือ!M364"")+IMPORTRANGE(""https://docs.google.com/spreadsheets/d/1c0UfJUA6nE6esVMy0kRcX_PENtt96DMxicQpqi3tips/edit?usp=sharing"","""&amp;"รวมตะวันออกเฉียงเหนือ!M364"")+IMPORTRANGE(""https://docs.google.com/spreadsheets/d/1iNWbYmj0agxPDl_yJgGu1eIremFPVMUuMWUKAjBzvrk/edit?usp=sharing"",""รวมกลาง!M364"")+IMPORTRANGE(""https://docs.google.com/spreadsheets/d/1uenpWDAH2bchvfvsSIjpd4bRU5D1faxJOaE3"&amp;"4GQM5-c/edit?usp=sharing"",""รวมใต้!M364"")"),0)</f>
        <v>0</v>
      </c>
      <c r="N364" s="42">
        <f ca="1">IFERROR(__xludf.DUMMYFUNCTION("IMPORTRANGE(""https://docs.google.com/spreadsheets/d/12pGRKgvn2b31Uz_fjAl3XPzZUM_F2_O-zAHL2XHEPZg/edit?usp=sharing"",""รวมเหนือ!N364"")+IMPORTRANGE(""https://docs.google.com/spreadsheets/d/1c0UfJUA6nE6esVMy0kRcX_PENtt96DMxicQpqi3tips/edit?usp=sharing"","""&amp;"รวมตะวันออกเฉียงเหนือ!N364"")+IMPORTRANGE(""https://docs.google.com/spreadsheets/d/1iNWbYmj0agxPDl_yJgGu1eIremFPVMUuMWUKAjBzvrk/edit?usp=sharing"",""รวมกลาง!N364"")+IMPORTRANGE(""https://docs.google.com/spreadsheets/d/1uenpWDAH2bchvfvsSIjpd4bRU5D1faxJOaE3"&amp;"4GQM5-c/edit?usp=sharing"",""รวมใต้!N364"")"),0)</f>
        <v>0</v>
      </c>
      <c r="O364" s="42">
        <f t="shared" ca="1" si="248"/>
        <v>0</v>
      </c>
      <c r="P364" s="42">
        <f t="shared" ca="1" si="249"/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</row>
    <row r="365" spans="1:21" ht="19.5" x14ac:dyDescent="0.3">
      <c r="A365" s="216"/>
      <c r="B365" s="217"/>
      <c r="C365" s="219"/>
      <c r="D365" s="319" t="s">
        <v>151</v>
      </c>
      <c r="E365" s="219"/>
      <c r="F365" s="219"/>
      <c r="G365" s="220"/>
      <c r="H365" s="230" t="s">
        <v>35</v>
      </c>
      <c r="I365" s="222">
        <f t="shared" ref="I365:J365" si="261">I369</f>
        <v>24970</v>
      </c>
      <c r="J365" s="222">
        <f t="shared" si="261"/>
        <v>27940</v>
      </c>
      <c r="K365" s="223">
        <f>IF(I365&gt;0,J365*100/I365,0)</f>
        <v>111.89427312775331</v>
      </c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</row>
    <row r="366" spans="1:21" ht="19.5" x14ac:dyDescent="0.3">
      <c r="A366" s="152"/>
      <c r="B366" s="153"/>
      <c r="C366" s="143" t="s">
        <v>18</v>
      </c>
      <c r="D366" s="154" t="s">
        <v>38</v>
      </c>
      <c r="E366" s="155"/>
      <c r="F366" s="155"/>
      <c r="G366" s="156"/>
      <c r="H366" s="157"/>
      <c r="I366" s="40"/>
      <c r="J366" s="40"/>
      <c r="K366" s="41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</row>
    <row r="367" spans="1:21" ht="18.75" x14ac:dyDescent="0.25">
      <c r="A367" s="152"/>
      <c r="B367" s="159"/>
      <c r="C367" s="153"/>
      <c r="D367" s="159"/>
      <c r="E367" s="158" t="s">
        <v>152</v>
      </c>
      <c r="F367" s="159"/>
      <c r="G367" s="157"/>
      <c r="H367" s="167" t="s">
        <v>46</v>
      </c>
      <c r="I367" s="176">
        <f ca="1">IFERROR(__xludf.DUMMYFUNCTION("IMPORTRANGE(""https://docs.google.com/spreadsheets/d/12pGRKgvn2b31Uz_fjAl3XPzZUM_F2_O-zAHL2XHEPZg/edit?usp=sharing"",""รวมเหนือ!I368"")+IMPORTRANGE(""https://docs.google.com/spreadsheets/d/1c0UfJUA6nE6esVMy0kRcX_PENtt96DMxicQpqi3tips/edit?usp=sharing"","""&amp;"รวมตะวันออกเฉียงเหนือ!I368"")+IMPORTRANGE(""https://docs.google.com/spreadsheets/d/1iNWbYmj0agxPDl_yJgGu1eIremFPVMUuMWUKAjBzvrk/edit?usp=sharing"",""รวมกลาง!I368"")+IMPORTRANGE(""https://docs.google.com/spreadsheets/d/1uenpWDAH2bchvfvsSIjpd4bRU5D1faxJOaE3"&amp;"4GQM5-c/edit?usp=sharing"",""รวมใต้!I368"")"),110145)</f>
        <v>110145</v>
      </c>
      <c r="J367" s="176">
        <v>148158</v>
      </c>
      <c r="K367" s="42">
        <f t="shared" ref="K367" ca="1" si="262">IF(I367&gt;0,J367*100/I367,0)</f>
        <v>134.51177992646058</v>
      </c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</row>
    <row r="368" spans="1:21" ht="18.75" x14ac:dyDescent="0.25">
      <c r="A368" s="152"/>
      <c r="B368" s="159"/>
      <c r="C368" s="153"/>
      <c r="D368" s="159"/>
      <c r="E368" s="158" t="s">
        <v>153</v>
      </c>
      <c r="F368" s="159"/>
      <c r="G368" s="157"/>
      <c r="H368" s="164" t="s">
        <v>35</v>
      </c>
      <c r="I368" s="176">
        <v>24970</v>
      </c>
      <c r="J368" s="176">
        <v>39482</v>
      </c>
      <c r="K368" s="42">
        <f t="shared" ref="K368:K370" si="263">IF(I368&gt;0,J368*100/I368,0)</f>
        <v>158.11774128954747</v>
      </c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</row>
    <row r="369" spans="1:21" ht="18.75" x14ac:dyDescent="0.25">
      <c r="A369" s="152"/>
      <c r="B369" s="159"/>
      <c r="C369" s="153"/>
      <c r="D369" s="159"/>
      <c r="E369" s="158" t="s">
        <v>154</v>
      </c>
      <c r="F369" s="159"/>
      <c r="G369" s="157"/>
      <c r="H369" s="164" t="s">
        <v>35</v>
      </c>
      <c r="I369" s="176">
        <v>24970</v>
      </c>
      <c r="J369" s="176">
        <v>27940</v>
      </c>
      <c r="K369" s="42">
        <f t="shared" si="263"/>
        <v>111.89427312775331</v>
      </c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</row>
    <row r="370" spans="1:21" ht="18.75" x14ac:dyDescent="0.25">
      <c r="A370" s="152"/>
      <c r="B370" s="159"/>
      <c r="C370" s="153"/>
      <c r="D370" s="159"/>
      <c r="E370" s="159"/>
      <c r="F370" s="159"/>
      <c r="G370" s="157"/>
      <c r="H370" s="164" t="s">
        <v>46</v>
      </c>
      <c r="I370" s="176">
        <v>0</v>
      </c>
      <c r="J370" s="176">
        <v>252408</v>
      </c>
      <c r="K370" s="42">
        <f t="shared" si="263"/>
        <v>0</v>
      </c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</row>
    <row r="371" spans="1:21" ht="16.5" x14ac:dyDescent="0.25">
      <c r="A371" s="321"/>
      <c r="B371" s="47"/>
      <c r="C371" s="322"/>
      <c r="D371" s="323" t="s">
        <v>304</v>
      </c>
      <c r="E371" s="47"/>
      <c r="F371" s="47"/>
      <c r="G371" s="49"/>
      <c r="H371" s="49"/>
      <c r="I371" s="51"/>
      <c r="J371" s="51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</row>
    <row r="372" spans="1:21" ht="19.5" x14ac:dyDescent="0.3">
      <c r="A372" s="314"/>
      <c r="B372" s="324" t="s">
        <v>155</v>
      </c>
      <c r="C372" s="315"/>
      <c r="D372" s="316"/>
      <c r="E372" s="304"/>
      <c r="F372" s="304"/>
      <c r="G372" s="305"/>
      <c r="H372" s="325" t="s">
        <v>46</v>
      </c>
      <c r="I372" s="307">
        <f t="shared" ref="I372:J372" ca="1" si="264">I384+I386</f>
        <v>350000</v>
      </c>
      <c r="J372" s="307">
        <f t="shared" ca="1" si="264"/>
        <v>352879.65</v>
      </c>
      <c r="K372" s="308">
        <f ca="1">IF(I372&gt;0,J372*100/I372,0)</f>
        <v>100.82275714285714</v>
      </c>
      <c r="L372" s="309"/>
      <c r="M372" s="309"/>
      <c r="N372" s="309"/>
      <c r="O372" s="309"/>
      <c r="P372" s="309"/>
      <c r="Q372" s="309"/>
      <c r="R372" s="309"/>
      <c r="S372" s="309"/>
      <c r="T372" s="309"/>
      <c r="U372" s="309"/>
    </row>
    <row r="373" spans="1:21" ht="19.5" x14ac:dyDescent="0.3">
      <c r="A373" s="142"/>
      <c r="B373" s="170"/>
      <c r="C373" s="143" t="s">
        <v>18</v>
      </c>
      <c r="D373" s="326" t="s">
        <v>19</v>
      </c>
      <c r="E373" s="170"/>
      <c r="F373" s="170"/>
      <c r="G373" s="186"/>
      <c r="H373" s="145" t="s">
        <v>14</v>
      </c>
      <c r="I373" s="40"/>
      <c r="J373" s="40"/>
      <c r="K373" s="41"/>
      <c r="L373" s="146">
        <f t="shared" ref="L373:N373" ca="1" si="265">L374+L375</f>
        <v>3605300</v>
      </c>
      <c r="M373" s="146">
        <f t="shared" ca="1" si="265"/>
        <v>3605300</v>
      </c>
      <c r="N373" s="146">
        <f t="shared" ca="1" si="265"/>
        <v>3604222.71</v>
      </c>
      <c r="O373" s="146">
        <f t="shared" ref="O373:O381" ca="1" si="266">IF(L373&gt;0,N373*100/L373,0)</f>
        <v>99.970119268854191</v>
      </c>
      <c r="P373" s="146">
        <f t="shared" ref="P373:P381" ca="1" si="267">IF(M373&gt;0,N373*100/M373,0)</f>
        <v>99.970119268854191</v>
      </c>
      <c r="Q373" s="146">
        <f t="shared" ref="Q373:S373" ca="1" si="268">Q374+Q375</f>
        <v>21875000</v>
      </c>
      <c r="R373" s="146">
        <f t="shared" ca="1" si="268"/>
        <v>22076187.5</v>
      </c>
      <c r="S373" s="146">
        <f t="shared" ca="1" si="268"/>
        <v>19780444.640000001</v>
      </c>
      <c r="T373" s="146">
        <f t="shared" ref="T373:T381" ca="1" si="269">IF(Q373&gt;0,S373*100/Q373,0)</f>
        <v>90.424889782857136</v>
      </c>
      <c r="U373" s="146">
        <f t="shared" ref="U373:U381" ca="1" si="270">IF(R373&gt;0,S373*100/R373,0)</f>
        <v>89.600818257228525</v>
      </c>
    </row>
    <row r="374" spans="1:21" ht="18.75" x14ac:dyDescent="0.25">
      <c r="A374" s="142"/>
      <c r="B374" s="170"/>
      <c r="C374" s="170"/>
      <c r="D374" s="170"/>
      <c r="E374" s="43" t="s">
        <v>20</v>
      </c>
      <c r="F374" s="36"/>
      <c r="G374" s="38"/>
      <c r="H374" s="147" t="s">
        <v>14</v>
      </c>
      <c r="I374" s="40"/>
      <c r="J374" s="40"/>
      <c r="K374" s="41"/>
      <c r="L374" s="42">
        <f t="shared" ref="L374:N374" ca="1" si="271">L377+L380</f>
        <v>2716200</v>
      </c>
      <c r="M374" s="42">
        <f t="shared" ca="1" si="271"/>
        <v>2516700</v>
      </c>
      <c r="N374" s="42">
        <f t="shared" ca="1" si="271"/>
        <v>2515622.71</v>
      </c>
      <c r="O374" s="42">
        <f t="shared" ca="1" si="266"/>
        <v>92.615518371253955</v>
      </c>
      <c r="P374" s="42">
        <f t="shared" ca="1" si="267"/>
        <v>99.957194341796793</v>
      </c>
      <c r="Q374" s="42">
        <f ca="1">IFERROR(__xludf.DUMMYFUNCTION("IMPORTRANGE(""https://docs.google.com/spreadsheets/d/1ItG2mGa2ceCfYo0BwxsXqNm01IGEUdYcSSLTEv9YCik/edit?usp=sharing"",""เบิกจ่ายกองทุน!BW11"")"),13981250)</f>
        <v>13981250</v>
      </c>
      <c r="R374" s="42">
        <f ca="1">IFERROR(__xludf.DUMMYFUNCTION("IMPORTRANGE(""https://docs.google.com/spreadsheets/d/1ItG2mGa2ceCfYo0BwxsXqNm01IGEUdYcSSLTEv9YCik/edit?usp=sharing"",""เบิกจ่ายกองทุน!BX11"")"),13500000)</f>
        <v>13500000</v>
      </c>
      <c r="S374" s="42">
        <f ca="1">IFERROR(__xludf.DUMMYFUNCTION("IMPORTRANGE(""https://docs.google.com/spreadsheets/d/1ItG2mGa2ceCfYo0BwxsXqNm01IGEUdYcSSLTEv9YCik/edit?usp=sharing"",""เบิกจ่ายกองทุน!BY11"")"),12440173.93)</f>
        <v>12440173.93</v>
      </c>
      <c r="T374" s="42">
        <f t="shared" ca="1" si="269"/>
        <v>88.977551578006256</v>
      </c>
      <c r="U374" s="42">
        <f t="shared" ca="1" si="270"/>
        <v>92.149436518518513</v>
      </c>
    </row>
    <row r="375" spans="1:21" ht="18.75" x14ac:dyDescent="0.25">
      <c r="A375" s="142"/>
      <c r="B375" s="170"/>
      <c r="C375" s="170"/>
      <c r="D375" s="170"/>
      <c r="E375" s="43" t="s">
        <v>21</v>
      </c>
      <c r="F375" s="36"/>
      <c r="G375" s="38"/>
      <c r="H375" s="147" t="s">
        <v>14</v>
      </c>
      <c r="I375" s="40"/>
      <c r="J375" s="40"/>
      <c r="K375" s="41"/>
      <c r="L375" s="42">
        <f t="shared" ref="L375:N375" ca="1" si="272">L378+L381</f>
        <v>889100</v>
      </c>
      <c r="M375" s="42">
        <f t="shared" ca="1" si="272"/>
        <v>1088600</v>
      </c>
      <c r="N375" s="42">
        <f t="shared" ca="1" si="272"/>
        <v>1088600</v>
      </c>
      <c r="O375" s="42">
        <f t="shared" ca="1" si="266"/>
        <v>122.43842087504218</v>
      </c>
      <c r="P375" s="42">
        <f t="shared" ca="1" si="267"/>
        <v>100</v>
      </c>
      <c r="Q375" s="42">
        <f ca="1">IFERROR(__xludf.DUMMYFUNCTION("IMPORTRANGE(""https://docs.google.com/spreadsheets/d/12pGRKgvn2b31Uz_fjAl3XPzZUM_F2_O-zAHL2XHEPZg/edit?usp=sharing"",""รวมเหนือ!Q380"")+IMPORTRANGE(""https://docs.google.com/spreadsheets/d/1c0UfJUA6nE6esVMy0kRcX_PENtt96DMxicQpqi3tips/edit?usp=sharing"","""&amp;"รวมตะวันออกเฉียงเหนือ!Q380"")+IMPORTRANGE(""https://docs.google.com/spreadsheets/d/1iNWbYmj0agxPDl_yJgGu1eIremFPVMUuMWUKAjBzvrk/edit?usp=sharing"",""รวมกลาง!Q380"")+IMPORTRANGE(""https://docs.google.com/spreadsheets/d/1uenpWDAH2bchvfvsSIjpd4bRU5D1faxJOaE3"&amp;"4GQM5-c/edit?usp=sharing"",""รวมใต้!Q380"")"),7893750)</f>
        <v>7893750</v>
      </c>
      <c r="R375" s="42">
        <f ca="1">IFERROR(__xludf.DUMMYFUNCTION("IMPORTRANGE(""https://docs.google.com/spreadsheets/d/12pGRKgvn2b31Uz_fjAl3XPzZUM_F2_O-zAHL2XHEPZg/edit?usp=sharing"",""รวมเหนือ!R380"")+IMPORTRANGE(""https://docs.google.com/spreadsheets/d/1c0UfJUA6nE6esVMy0kRcX_PENtt96DMxicQpqi3tips/edit?usp=sharing"","""&amp;"รวมตะวันออกเฉียงเหนือ!R380"")+IMPORTRANGE(""https://docs.google.com/spreadsheets/d/1iNWbYmj0agxPDl_yJgGu1eIremFPVMUuMWUKAjBzvrk/edit?usp=sharing"",""รวมกลาง!R380"")+IMPORTRANGE(""https://docs.google.com/spreadsheets/d/1uenpWDAH2bchvfvsSIjpd4bRU5D1faxJOaE3"&amp;"4GQM5-c/edit?usp=sharing"",""รวมใต้!R380"")"),8576187.5)</f>
        <v>8576187.5</v>
      </c>
      <c r="S375" s="42">
        <f ca="1">IFERROR(__xludf.DUMMYFUNCTION("IMPORTRANGE(""https://docs.google.com/spreadsheets/d/12pGRKgvn2b31Uz_fjAl3XPzZUM_F2_O-zAHL2XHEPZg/edit?usp=sharing"",""รวมเหนือ!S380"")+IMPORTRANGE(""https://docs.google.com/spreadsheets/d/1c0UfJUA6nE6esVMy0kRcX_PENtt96DMxicQpqi3tips/edit?usp=sharing"","""&amp;"รวมตะวันออกเฉียงเหนือ!S380"")+IMPORTRANGE(""https://docs.google.com/spreadsheets/d/1iNWbYmj0agxPDl_yJgGu1eIremFPVMUuMWUKAjBzvrk/edit?usp=sharing"",""รวมกลาง!S380"")+IMPORTRANGE(""https://docs.google.com/spreadsheets/d/1uenpWDAH2bchvfvsSIjpd4bRU5D1faxJOaE3"&amp;"4GQM5-c/edit?usp=sharing"",""รวมใต้!S380"")"),7340270.71)</f>
        <v>7340270.71</v>
      </c>
      <c r="T375" s="42">
        <f t="shared" ca="1" si="269"/>
        <v>92.988385874901027</v>
      </c>
      <c r="U375" s="42">
        <f t="shared" ca="1" si="270"/>
        <v>85.588971906222895</v>
      </c>
    </row>
    <row r="376" spans="1:21" ht="18.75" x14ac:dyDescent="0.25">
      <c r="A376" s="142"/>
      <c r="B376" s="170"/>
      <c r="C376" s="170"/>
      <c r="D376" s="171" t="s">
        <v>22</v>
      </c>
      <c r="E376" s="36"/>
      <c r="F376" s="36"/>
      <c r="G376" s="38"/>
      <c r="H376" s="148" t="s">
        <v>14</v>
      </c>
      <c r="I376" s="149"/>
      <c r="J376" s="149"/>
      <c r="K376" s="150"/>
      <c r="L376" s="42">
        <f t="shared" ref="L376:N376" ca="1" si="273">L377+L378</f>
        <v>3605300</v>
      </c>
      <c r="M376" s="42">
        <f t="shared" ca="1" si="273"/>
        <v>3605300</v>
      </c>
      <c r="N376" s="42">
        <f t="shared" ca="1" si="273"/>
        <v>3604222.71</v>
      </c>
      <c r="O376" s="42">
        <f t="shared" ca="1" si="266"/>
        <v>99.970119268854191</v>
      </c>
      <c r="P376" s="42">
        <f t="shared" ca="1" si="267"/>
        <v>99.970119268854191</v>
      </c>
      <c r="Q376" s="42">
        <f t="shared" ref="Q376:S376" si="274">Q377+Q378</f>
        <v>0</v>
      </c>
      <c r="R376" s="42">
        <f t="shared" si="274"/>
        <v>0</v>
      </c>
      <c r="S376" s="42">
        <f t="shared" si="274"/>
        <v>0</v>
      </c>
      <c r="T376" s="42">
        <f t="shared" si="269"/>
        <v>0</v>
      </c>
      <c r="U376" s="42">
        <f t="shared" si="270"/>
        <v>0</v>
      </c>
    </row>
    <row r="377" spans="1:21" ht="18.75" x14ac:dyDescent="0.25">
      <c r="A377" s="142"/>
      <c r="B377" s="170"/>
      <c r="C377" s="170"/>
      <c r="D377" s="170"/>
      <c r="E377" s="43" t="s">
        <v>36</v>
      </c>
      <c r="F377" s="36"/>
      <c r="G377" s="38"/>
      <c r="H377" s="148" t="s">
        <v>14</v>
      </c>
      <c r="I377" s="149"/>
      <c r="J377" s="149"/>
      <c r="K377" s="150"/>
      <c r="L377" s="42">
        <f ca="1">IFERROR(__xludf.DUMMYFUNCTION("IMPORTRANGE(""https://docs.google.com/spreadsheets/d/1-uDff_7J0KD5mKrp0Vvzr7lt3OU09vwQwhkpOPPYv2Y/edit?usp=sharing"",""งบพรบ!IE9"")"),2716200)</f>
        <v>2716200</v>
      </c>
      <c r="M377" s="42">
        <f ca="1">IFERROR(__xludf.DUMMYFUNCTION("IMPORTRANGE(""https://docs.google.com/spreadsheets/d/1-uDff_7J0KD5mKrp0Vvzr7lt3OU09vwQwhkpOPPYv2Y/edit?usp=sharing"",""งบพรบ!IJ9"")"),2516700)</f>
        <v>2516700</v>
      </c>
      <c r="N377" s="42">
        <f ca="1">IFERROR(__xludf.DUMMYFUNCTION("IMPORTRANGE(""https://docs.google.com/spreadsheets/d/1-uDff_7J0KD5mKrp0Vvzr7lt3OU09vwQwhkpOPPYv2Y/edit?usp=sharing"",""งบพรบ!IL9"")"),2515622.71)</f>
        <v>2515622.71</v>
      </c>
      <c r="O377" s="42">
        <f t="shared" ca="1" si="266"/>
        <v>92.615518371253955</v>
      </c>
      <c r="P377" s="42">
        <f t="shared" ca="1" si="267"/>
        <v>99.957194341796793</v>
      </c>
      <c r="Q377" s="42">
        <v>0</v>
      </c>
      <c r="R377" s="42">
        <v>0</v>
      </c>
      <c r="S377" s="42">
        <v>0</v>
      </c>
      <c r="T377" s="42">
        <f t="shared" si="269"/>
        <v>0</v>
      </c>
      <c r="U377" s="42">
        <f t="shared" si="270"/>
        <v>0</v>
      </c>
    </row>
    <row r="378" spans="1:21" ht="18.75" x14ac:dyDescent="0.25">
      <c r="A378" s="142"/>
      <c r="B378" s="170"/>
      <c r="C378" s="170"/>
      <c r="D378" s="170"/>
      <c r="E378" s="214" t="s">
        <v>37</v>
      </c>
      <c r="F378" s="170"/>
      <c r="G378" s="186"/>
      <c r="H378" s="148" t="s">
        <v>14</v>
      </c>
      <c r="I378" s="149"/>
      <c r="J378" s="149"/>
      <c r="K378" s="150"/>
      <c r="L378" s="42">
        <f ca="1">IFERROR(__xludf.DUMMYFUNCTION("IMPORTRANGE(""https://docs.google.com/spreadsheets/d/12pGRKgvn2b31Uz_fjAl3XPzZUM_F2_O-zAHL2XHEPZg/edit?usp=sharing"",""รวมเหนือ!L380"")+IMPORTRANGE(""https://docs.google.com/spreadsheets/d/1c0UfJUA6nE6esVMy0kRcX_PENtt96DMxicQpqi3tips/edit?usp=sharing"","""&amp;"รวมตะวันออกเฉียงเหนือ!L380"")+IMPORTRANGE(""https://docs.google.com/spreadsheets/d/1iNWbYmj0agxPDl_yJgGu1eIremFPVMUuMWUKAjBzvrk/edit?usp=sharing"",""รวมกลาง!L380"")+IMPORTRANGE(""https://docs.google.com/spreadsheets/d/1uenpWDAH2bchvfvsSIjpd4bRU5D1faxJOaE3"&amp;"4GQM5-c/edit?usp=sharing"",""รวมใต้!L380"")"),889100)</f>
        <v>889100</v>
      </c>
      <c r="M378" s="42">
        <f ca="1">IFERROR(__xludf.DUMMYFUNCTION("IMPORTRANGE(""https://docs.google.com/spreadsheets/d/12pGRKgvn2b31Uz_fjAl3XPzZUM_F2_O-zAHL2XHEPZg/edit?usp=sharing"",""รวมเหนือ!M380"")+IMPORTRANGE(""https://docs.google.com/spreadsheets/d/1c0UfJUA6nE6esVMy0kRcX_PENtt96DMxicQpqi3tips/edit?usp=sharing"","""&amp;"รวมตะวันออกเฉียงเหนือ!M380"")+IMPORTRANGE(""https://docs.google.com/spreadsheets/d/1iNWbYmj0agxPDl_yJgGu1eIremFPVMUuMWUKAjBzvrk/edit?usp=sharing"",""รวมกลาง!M380"")+IMPORTRANGE(""https://docs.google.com/spreadsheets/d/1uenpWDAH2bchvfvsSIjpd4bRU5D1faxJOaE3"&amp;"4GQM5-c/edit?usp=sharing"",""รวมใต้!M380"")"),1088600)</f>
        <v>1088600</v>
      </c>
      <c r="N378" s="42">
        <f ca="1">IFERROR(__xludf.DUMMYFUNCTION("IMPORTRANGE(""https://docs.google.com/spreadsheets/d/12pGRKgvn2b31Uz_fjAl3XPzZUM_F2_O-zAHL2XHEPZg/edit?usp=sharing"",""รวมเหนือ!N380"")+IMPORTRANGE(""https://docs.google.com/spreadsheets/d/1c0UfJUA6nE6esVMy0kRcX_PENtt96DMxicQpqi3tips/edit?usp=sharing"","""&amp;"รวมตะวันออกเฉียงเหนือ!N380"")+IMPORTRANGE(""https://docs.google.com/spreadsheets/d/1iNWbYmj0agxPDl_yJgGu1eIremFPVMUuMWUKAjBzvrk/edit?usp=sharing"",""รวมกลาง!N380"")+IMPORTRANGE(""https://docs.google.com/spreadsheets/d/1uenpWDAH2bchvfvsSIjpd4bRU5D1faxJOaE3"&amp;"4GQM5-c/edit?usp=sharing"",""รวมใต้!N380"")"),1088600)</f>
        <v>1088600</v>
      </c>
      <c r="O378" s="42">
        <f t="shared" ca="1" si="266"/>
        <v>122.43842087504218</v>
      </c>
      <c r="P378" s="42">
        <f t="shared" ca="1" si="267"/>
        <v>100</v>
      </c>
      <c r="Q378" s="42">
        <v>0</v>
      </c>
      <c r="R378" s="42">
        <v>0</v>
      </c>
      <c r="S378" s="42">
        <v>0</v>
      </c>
      <c r="T378" s="42">
        <f t="shared" si="269"/>
        <v>0</v>
      </c>
      <c r="U378" s="42">
        <f t="shared" si="270"/>
        <v>0</v>
      </c>
    </row>
    <row r="379" spans="1:21" ht="18.75" x14ac:dyDescent="0.25">
      <c r="A379" s="142"/>
      <c r="B379" s="170"/>
      <c r="C379" s="170"/>
      <c r="D379" s="171" t="s">
        <v>23</v>
      </c>
      <c r="E379" s="36"/>
      <c r="F379" s="36"/>
      <c r="G379" s="38"/>
      <c r="H379" s="151" t="s">
        <v>14</v>
      </c>
      <c r="I379" s="149"/>
      <c r="J379" s="149"/>
      <c r="K379" s="150"/>
      <c r="L379" s="42">
        <f t="shared" ref="L379:N379" ca="1" si="275">L380+L381</f>
        <v>0</v>
      </c>
      <c r="M379" s="42">
        <f t="shared" ca="1" si="275"/>
        <v>0</v>
      </c>
      <c r="N379" s="42">
        <f t="shared" ca="1" si="275"/>
        <v>0</v>
      </c>
      <c r="O379" s="42">
        <f t="shared" ca="1" si="266"/>
        <v>0</v>
      </c>
      <c r="P379" s="42">
        <f t="shared" ca="1" si="267"/>
        <v>0</v>
      </c>
      <c r="Q379" s="42">
        <f t="shared" ref="Q379:S379" ca="1" si="276">Q380+Q381</f>
        <v>0</v>
      </c>
      <c r="R379" s="42">
        <f t="shared" ca="1" si="276"/>
        <v>0</v>
      </c>
      <c r="S379" s="42">
        <f t="shared" ca="1" si="276"/>
        <v>0</v>
      </c>
      <c r="T379" s="42">
        <f t="shared" ca="1" si="269"/>
        <v>0</v>
      </c>
      <c r="U379" s="42">
        <f t="shared" ca="1" si="270"/>
        <v>0</v>
      </c>
    </row>
    <row r="380" spans="1:21" ht="18.75" x14ac:dyDescent="0.25">
      <c r="A380" s="142"/>
      <c r="B380" s="170"/>
      <c r="C380" s="170"/>
      <c r="D380" s="170"/>
      <c r="E380" s="43" t="s">
        <v>20</v>
      </c>
      <c r="F380" s="36"/>
      <c r="G380" s="38"/>
      <c r="H380" s="148" t="s">
        <v>14</v>
      </c>
      <c r="I380" s="149"/>
      <c r="J380" s="149"/>
      <c r="K380" s="150"/>
      <c r="L380" s="42">
        <f ca="1">IFERROR(__xludf.DUMMYFUNCTION("IMPORTRANGE(""https://docs.google.com/spreadsheets/d/1-uDff_7J0KD5mKrp0Vvzr7lt3OU09vwQwhkpOPPYv2Y/edit?usp=sharing"",""งบพรบ!IH9"")"),0)</f>
        <v>0</v>
      </c>
      <c r="M380" s="42">
        <f ca="1">IFERROR(__xludf.DUMMYFUNCTION("IMPORTRANGE(""https://docs.google.com/spreadsheets/d/1-uDff_7J0KD5mKrp0Vvzr7lt3OU09vwQwhkpOPPYv2Y/edit?usp=sharing"",""งบพรบ!IK9"")"),0)</f>
        <v>0</v>
      </c>
      <c r="N380" s="42">
        <f ca="1">IFERROR(__xludf.DUMMYFUNCTION("IMPORTRANGE(""https://docs.google.com/spreadsheets/d/1-uDff_7J0KD5mKrp0Vvzr7lt3OU09vwQwhkpOPPYv2Y/edit?usp=sharing"",""งบพรบ!IM9"")"),0)</f>
        <v>0</v>
      </c>
      <c r="O380" s="42">
        <f t="shared" ca="1" si="266"/>
        <v>0</v>
      </c>
      <c r="P380" s="42">
        <f t="shared" ca="1" si="267"/>
        <v>0</v>
      </c>
      <c r="Q380" s="42">
        <v>0</v>
      </c>
      <c r="R380" s="42">
        <v>0</v>
      </c>
      <c r="S380" s="42">
        <v>0</v>
      </c>
      <c r="T380" s="42">
        <f t="shared" si="269"/>
        <v>0</v>
      </c>
      <c r="U380" s="42">
        <f t="shared" si="270"/>
        <v>0</v>
      </c>
    </row>
    <row r="381" spans="1:21" ht="18.75" x14ac:dyDescent="0.25">
      <c r="A381" s="142"/>
      <c r="B381" s="170"/>
      <c r="C381" s="170"/>
      <c r="D381" s="170"/>
      <c r="E381" s="43" t="s">
        <v>21</v>
      </c>
      <c r="F381" s="36"/>
      <c r="G381" s="38"/>
      <c r="H381" s="151" t="s">
        <v>14</v>
      </c>
      <c r="I381" s="149"/>
      <c r="J381" s="149"/>
      <c r="K381" s="150"/>
      <c r="L381" s="42">
        <f ca="1">IFERROR(__xludf.DUMMYFUNCTION("IMPORTRANGE(""https://docs.google.com/spreadsheets/d/12pGRKgvn2b31Uz_fjAl3XPzZUM_F2_O-zAHL2XHEPZg/edit?usp=sharing"",""รวมเหนือ!L383"")+IMPORTRANGE(""https://docs.google.com/spreadsheets/d/1c0UfJUA6nE6esVMy0kRcX_PENtt96DMxicQpqi3tips/edit?usp=sharing"","""&amp;"รวมตะวันออกเฉียงเหนือ!L383"")+IMPORTRANGE(""https://docs.google.com/spreadsheets/d/1iNWbYmj0agxPDl_yJgGu1eIremFPVMUuMWUKAjBzvrk/edit?usp=sharing"",""รวมกลาง!L383"")+IMPORTRANGE(""https://docs.google.com/spreadsheets/d/1uenpWDAH2bchvfvsSIjpd4bRU5D1faxJOaE3"&amp;"4GQM5-c/edit?usp=sharing"",""รวมใต้!L383"")"),0)</f>
        <v>0</v>
      </c>
      <c r="M381" s="42">
        <f ca="1">IFERROR(__xludf.DUMMYFUNCTION("IMPORTRANGE(""https://docs.google.com/spreadsheets/d/12pGRKgvn2b31Uz_fjAl3XPzZUM_F2_O-zAHL2XHEPZg/edit?usp=sharing"",""รวมเหนือ!M383"")+IMPORTRANGE(""https://docs.google.com/spreadsheets/d/1c0UfJUA6nE6esVMy0kRcX_PENtt96DMxicQpqi3tips/edit?usp=sharing"","""&amp;"รวมตะวันออกเฉียงเหนือ!M383"")+IMPORTRANGE(""https://docs.google.com/spreadsheets/d/1iNWbYmj0agxPDl_yJgGu1eIremFPVMUuMWUKAjBzvrk/edit?usp=sharing"",""รวมกลาง!M383"")+IMPORTRANGE(""https://docs.google.com/spreadsheets/d/1uenpWDAH2bchvfvsSIjpd4bRU5D1faxJOaE3"&amp;"4GQM5-c/edit?usp=sharing"",""รวมใต้!M383"")"),0)</f>
        <v>0</v>
      </c>
      <c r="N381" s="42">
        <f ca="1">IFERROR(__xludf.DUMMYFUNCTION("IMPORTRANGE(""https://docs.google.com/spreadsheets/d/12pGRKgvn2b31Uz_fjAl3XPzZUM_F2_O-zAHL2XHEPZg/edit?usp=sharing"",""รวมเหนือ!N383"")+IMPORTRANGE(""https://docs.google.com/spreadsheets/d/1c0UfJUA6nE6esVMy0kRcX_PENtt96DMxicQpqi3tips/edit?usp=sharing"","""&amp;"รวมตะวันออกเฉียงเหนือ!N383"")+IMPORTRANGE(""https://docs.google.com/spreadsheets/d/1iNWbYmj0agxPDl_yJgGu1eIremFPVMUuMWUKAjBzvrk/edit?usp=sharing"",""รวมกลาง!N383"")+IMPORTRANGE(""https://docs.google.com/spreadsheets/d/1uenpWDAH2bchvfvsSIjpd4bRU5D1faxJOaE3"&amp;"4GQM5-c/edit?usp=sharing"",""รวมใต้!N383"")"),0)</f>
        <v>0</v>
      </c>
      <c r="O381" s="42">
        <f t="shared" ca="1" si="266"/>
        <v>0</v>
      </c>
      <c r="P381" s="42">
        <f t="shared" ca="1" si="267"/>
        <v>0</v>
      </c>
      <c r="Q381" s="42">
        <f ca="1">IFERROR(__xludf.DUMMYFUNCTION("IMPORTRANGE(""https://docs.google.com/spreadsheets/d/12pGRKgvn2b31Uz_fjAl3XPzZUM_F2_O-zAHL2XHEPZg/edit?usp=sharing"",""รวมเหนือ!Q383"")+IMPORTRANGE(""https://docs.google.com/spreadsheets/d/1c0UfJUA6nE6esVMy0kRcX_PENtt96DMxicQpqi3tips/edit?usp=sharing"","""&amp;"รวมตะวันออกเฉียงเหนือ!Q383"")+IMPORTRANGE(""https://docs.google.com/spreadsheets/d/1iNWbYmj0agxPDl_yJgGu1eIremFPVMUuMWUKAjBzvrk/edit?usp=sharing"",""รวมกลาง!Q383"")+IMPORTRANGE(""https://docs.google.com/spreadsheets/d/1uenpWDAH2bchvfvsSIjpd4bRU5D1faxJOaE3"&amp;"4GQM5-c/edit?usp=sharing"",""รวมใต้!Q383"")"),0)</f>
        <v>0</v>
      </c>
      <c r="R381" s="42">
        <f ca="1">IFERROR(__xludf.DUMMYFUNCTION("IMPORTRANGE(""https://docs.google.com/spreadsheets/d/12pGRKgvn2b31Uz_fjAl3XPzZUM_F2_O-zAHL2XHEPZg/edit?usp=sharing"",""รวมเหนือ!R383"")+IMPORTRANGE(""https://docs.google.com/spreadsheets/d/1c0UfJUA6nE6esVMy0kRcX_PENtt96DMxicQpqi3tips/edit?usp=sharing"","""&amp;"รวมตะวันออกเฉียงเหนือ!R383"")+IMPORTRANGE(""https://docs.google.com/spreadsheets/d/1iNWbYmj0agxPDl_yJgGu1eIremFPVMUuMWUKAjBzvrk/edit?usp=sharing"",""รวมกลาง!R383"")+IMPORTRANGE(""https://docs.google.com/spreadsheets/d/1uenpWDAH2bchvfvsSIjpd4bRU5D1faxJOaE3"&amp;"4GQM5-c/edit?usp=sharing"",""รวมใต้!R383"")"),0)</f>
        <v>0</v>
      </c>
      <c r="S381" s="42">
        <f ca="1">IFERROR(__xludf.DUMMYFUNCTION("IMPORTRANGE(""https://docs.google.com/spreadsheets/d/12pGRKgvn2b31Uz_fjAl3XPzZUM_F2_O-zAHL2XHEPZg/edit?usp=sharing"",""รวมเหนือ!S383"")+IMPORTRANGE(""https://docs.google.com/spreadsheets/d/1c0UfJUA6nE6esVMy0kRcX_PENtt96DMxicQpqi3tips/edit?usp=sharing"","""&amp;"รวมตะวันออกเฉียงเหนือ!S383"")+IMPORTRANGE(""https://docs.google.com/spreadsheets/d/1iNWbYmj0agxPDl_yJgGu1eIremFPVMUuMWUKAjBzvrk/edit?usp=sharing"",""รวมกลาง!S383"")+IMPORTRANGE(""https://docs.google.com/spreadsheets/d/1uenpWDAH2bchvfvsSIjpd4bRU5D1faxJOaE3"&amp;"4GQM5-c/edit?usp=sharing"",""รวมใต้!S383"")"),0)</f>
        <v>0</v>
      </c>
      <c r="T381" s="42">
        <f t="shared" ca="1" si="269"/>
        <v>0</v>
      </c>
      <c r="U381" s="42">
        <f t="shared" ca="1" si="270"/>
        <v>0</v>
      </c>
    </row>
    <row r="382" spans="1:21" ht="19.5" x14ac:dyDescent="0.3">
      <c r="A382" s="152"/>
      <c r="B382" s="153"/>
      <c r="C382" s="143" t="s">
        <v>18</v>
      </c>
      <c r="D382" s="327" t="s">
        <v>38</v>
      </c>
      <c r="E382" s="155"/>
      <c r="F382" s="155"/>
      <c r="G382" s="156"/>
      <c r="H382" s="185"/>
      <c r="I382" s="149"/>
      <c r="J382" s="40"/>
      <c r="K382" s="41"/>
      <c r="L382" s="41"/>
      <c r="M382" s="41"/>
      <c r="N382" s="41"/>
      <c r="O382" s="150"/>
      <c r="P382" s="150"/>
      <c r="Q382" s="41"/>
      <c r="R382" s="41"/>
      <c r="S382" s="41"/>
      <c r="T382" s="150"/>
      <c r="U382" s="150"/>
    </row>
    <row r="383" spans="1:21" ht="18.75" x14ac:dyDescent="0.25">
      <c r="A383" s="213"/>
      <c r="B383" s="170"/>
      <c r="C383" s="170"/>
      <c r="D383" s="170"/>
      <c r="E383" s="43" t="s">
        <v>156</v>
      </c>
      <c r="F383" s="36"/>
      <c r="G383" s="38"/>
      <c r="H383" s="147" t="s">
        <v>34</v>
      </c>
      <c r="I383" s="176">
        <v>0</v>
      </c>
      <c r="J383" s="176">
        <f ca="1">IFERROR(__xludf.DUMMYFUNCTION("IMPORTRANGE(""https://docs.google.com/spreadsheets/d/12pGRKgvn2b31Uz_fjAl3XPzZUM_F2_O-zAHL2XHEPZg/edit?usp=sharing"",""รวมเหนือ!J385"")+IMPORTRANGE(""https://docs.google.com/spreadsheets/d/1c0UfJUA6nE6esVMy0kRcX_PENtt96DMxicQpqi3tips/edit?usp=sharing"","""&amp;"รวมตะวันออกเฉียงเหนือ!J385"")+IMPORTRANGE(""https://docs.google.com/spreadsheets/d/1iNWbYmj0agxPDl_yJgGu1eIremFPVMUuMWUKAjBzvrk/edit?usp=sharing"",""รวมกลาง!J385"")+IMPORTRANGE(""https://docs.google.com/spreadsheets/d/1uenpWDAH2bchvfvsSIjpd4bRU5D1faxJOaE3"&amp;"4GQM5-c/edit?usp=sharing"",""รวมใต้!J385"")"),10376)</f>
        <v>10376</v>
      </c>
      <c r="K383" s="42">
        <f t="shared" ref="K383:K386" si="277">IF(I383&gt;0,J383*100/I383,0)</f>
        <v>0</v>
      </c>
      <c r="L383" s="41"/>
      <c r="M383" s="41"/>
      <c r="N383" s="41"/>
      <c r="O383" s="41"/>
      <c r="P383" s="41"/>
      <c r="Q383" s="41"/>
      <c r="R383" s="41"/>
      <c r="S383" s="41"/>
      <c r="T383" s="41"/>
      <c r="U383" s="41"/>
    </row>
    <row r="384" spans="1:21" ht="18.75" x14ac:dyDescent="0.25">
      <c r="A384" s="213"/>
      <c r="B384" s="170"/>
      <c r="C384" s="170"/>
      <c r="D384" s="170"/>
      <c r="E384" s="170"/>
      <c r="F384" s="170"/>
      <c r="G384" s="186"/>
      <c r="H384" s="147" t="s">
        <v>46</v>
      </c>
      <c r="I384" s="176">
        <f ca="1">IFERROR(__xludf.DUMMYFUNCTION("IMPORTRANGE(""https://docs.google.com/spreadsheets/d/12pGRKgvn2b31Uz_fjAl3XPzZUM_F2_O-zAHL2XHEPZg/edit?usp=sharing"",""รวมเหนือ!I386"")+IMPORTRANGE(""https://docs.google.com/spreadsheets/d/1c0UfJUA6nE6esVMy0kRcX_PENtt96DMxicQpqi3tips/edit?usp=sharing"","""&amp;"รวมตะวันออกเฉียงเหนือ!I386"")+IMPORTRANGE(""https://docs.google.com/spreadsheets/d/1iNWbYmj0agxPDl_yJgGu1eIremFPVMUuMWUKAjBzvrk/edit?usp=sharing"",""รวมกลาง!I386"")+IMPORTRANGE(""https://docs.google.com/spreadsheets/d/1uenpWDAH2bchvfvsSIjpd4bRU5D1faxJOaE3"&amp;"4GQM5-c/edit?usp=sharing"",""รวมใต้!I386"")"),126300)</f>
        <v>126300</v>
      </c>
      <c r="J384" s="176">
        <f ca="1">IFERROR(__xludf.DUMMYFUNCTION("IMPORTRANGE(""https://docs.google.com/spreadsheets/d/12pGRKgvn2b31Uz_fjAl3XPzZUM_F2_O-zAHL2XHEPZg/edit?usp=sharing"",""รวมเหนือ!J386"")+IMPORTRANGE(""https://docs.google.com/spreadsheets/d/1c0UfJUA6nE6esVMy0kRcX_PENtt96DMxicQpqi3tips/edit?usp=sharing"","""&amp;"รวมตะวันออกเฉียงเหนือ!J386"")+IMPORTRANGE(""https://docs.google.com/spreadsheets/d/1iNWbYmj0agxPDl_yJgGu1eIremFPVMUuMWUKAjBzvrk/edit?usp=sharing"",""รวมกลาง!J386"")+IMPORTRANGE(""https://docs.google.com/spreadsheets/d/1uenpWDAH2bchvfvsSIjpd4bRU5D1faxJOaE3"&amp;"4GQM5-c/edit?usp=sharing"",""รวมใต้!J386"")"),130051)</f>
        <v>130051</v>
      </c>
      <c r="K384" s="42">
        <f t="shared" ca="1" si="277"/>
        <v>102.96991290577989</v>
      </c>
      <c r="L384" s="41"/>
      <c r="M384" s="41"/>
      <c r="N384" s="41"/>
      <c r="O384" s="41"/>
      <c r="P384" s="41"/>
      <c r="Q384" s="41"/>
      <c r="R384" s="41"/>
      <c r="S384" s="41"/>
      <c r="T384" s="41"/>
      <c r="U384" s="41"/>
    </row>
    <row r="385" spans="1:21" ht="18.75" x14ac:dyDescent="0.25">
      <c r="A385" s="213"/>
      <c r="B385" s="170"/>
      <c r="C385" s="170"/>
      <c r="D385" s="170"/>
      <c r="E385" s="214" t="s">
        <v>157</v>
      </c>
      <c r="F385" s="170"/>
      <c r="G385" s="186"/>
      <c r="H385" s="147" t="s">
        <v>34</v>
      </c>
      <c r="I385" s="176">
        <f ca="1">IFERROR(__xludf.DUMMYFUNCTION("IMPORTRANGE(""https://docs.google.com/spreadsheets/d/12pGRKgvn2b31Uz_fjAl3XPzZUM_F2_O-zAHL2XHEPZg/edit?usp=sharing"",""รวมเหนือ!I387"")+IMPORTRANGE(""https://docs.google.com/spreadsheets/d/1c0UfJUA6nE6esVMy0kRcX_PENtt96DMxicQpqi3tips/edit?usp=sharing"","""&amp;"รวมตะวันออกเฉียงเหนือ!I387"")+IMPORTRANGE(""https://docs.google.com/spreadsheets/d/1iNWbYmj0agxPDl_yJgGu1eIremFPVMUuMWUKAjBzvrk/edit?usp=sharing"",""รวมกลาง!I387"")+IMPORTRANGE(""https://docs.google.com/spreadsheets/d/1uenpWDAH2bchvfvsSIjpd4bRU5D1faxJOaE3"&amp;"4GQM5-c/edit?usp=sharing"",""รวมใต้!I387"")"),0)</f>
        <v>0</v>
      </c>
      <c r="J385" s="176">
        <f ca="1">IFERROR(__xludf.DUMMYFUNCTION("IMPORTRANGE(""https://docs.google.com/spreadsheets/d/12pGRKgvn2b31Uz_fjAl3XPzZUM_F2_O-zAHL2XHEPZg/edit?usp=sharing"",""รวมเหนือ!J387"")+IMPORTRANGE(""https://docs.google.com/spreadsheets/d/1c0UfJUA6nE6esVMy0kRcX_PENtt96DMxicQpqi3tips/edit?usp=sharing"","""&amp;"รวมตะวันออกเฉียงเหนือ!J387"")+IMPORTRANGE(""https://docs.google.com/spreadsheets/d/1iNWbYmj0agxPDl_yJgGu1eIremFPVMUuMWUKAjBzvrk/edit?usp=sharing"",""รวมกลาง!J387"")+IMPORTRANGE(""https://docs.google.com/spreadsheets/d/1uenpWDAH2bchvfvsSIjpd4bRU5D1faxJOaE3"&amp;"4GQM5-c/edit?usp=sharing"",""รวมใต้!J387"")"),19330)</f>
        <v>19330</v>
      </c>
      <c r="K385" s="42">
        <f t="shared" ca="1" si="277"/>
        <v>0</v>
      </c>
      <c r="L385" s="41"/>
      <c r="M385" s="41"/>
      <c r="N385" s="41"/>
      <c r="O385" s="41"/>
      <c r="P385" s="41"/>
      <c r="Q385" s="41"/>
      <c r="R385" s="41"/>
      <c r="S385" s="41"/>
      <c r="T385" s="41"/>
      <c r="U385" s="41"/>
    </row>
    <row r="386" spans="1:21" ht="18.75" x14ac:dyDescent="0.25">
      <c r="A386" s="213"/>
      <c r="B386" s="170"/>
      <c r="C386" s="170"/>
      <c r="D386" s="170"/>
      <c r="E386" s="170"/>
      <c r="F386" s="170"/>
      <c r="G386" s="186"/>
      <c r="H386" s="147" t="s">
        <v>46</v>
      </c>
      <c r="I386" s="176">
        <f ca="1">IFERROR(__xludf.DUMMYFUNCTION("IMPORTRANGE(""https://docs.google.com/spreadsheets/d/12pGRKgvn2b31Uz_fjAl3XPzZUM_F2_O-zAHL2XHEPZg/edit?usp=sharing"",""รวมเหนือ!I388"")+IMPORTRANGE(""https://docs.google.com/spreadsheets/d/1c0UfJUA6nE6esVMy0kRcX_PENtt96DMxicQpqi3tips/edit?usp=sharing"","""&amp;"รวมตะวันออกเฉียงเหนือ!I388"")+IMPORTRANGE(""https://docs.google.com/spreadsheets/d/1iNWbYmj0agxPDl_yJgGu1eIremFPVMUuMWUKAjBzvrk/edit?usp=sharing"",""รวมกลาง!I388"")+IMPORTRANGE(""https://docs.google.com/spreadsheets/d/1uenpWDAH2bchvfvsSIjpd4bRU5D1faxJOaE3"&amp;"4GQM5-c/edit?usp=sharing"",""รวมใต้!I388"")"),223700)</f>
        <v>223700</v>
      </c>
      <c r="J386" s="176">
        <f ca="1">IFERROR(__xludf.DUMMYFUNCTION("IMPORTRANGE(""https://docs.google.com/spreadsheets/d/12pGRKgvn2b31Uz_fjAl3XPzZUM_F2_O-zAHL2XHEPZg/edit?usp=sharing"",""รวมเหนือ!J388"")+IMPORTRANGE(""https://docs.google.com/spreadsheets/d/1c0UfJUA6nE6esVMy0kRcX_PENtt96DMxicQpqi3tips/edit?usp=sharing"","""&amp;"รวมตะวันออกเฉียงเหนือ!J388"")+IMPORTRANGE(""https://docs.google.com/spreadsheets/d/1iNWbYmj0agxPDl_yJgGu1eIremFPVMUuMWUKAjBzvrk/edit?usp=sharing"",""รวมกลาง!J388"")+IMPORTRANGE(""https://docs.google.com/spreadsheets/d/1uenpWDAH2bchvfvsSIjpd4bRU5D1faxJOaE3"&amp;"4GQM5-c/edit?usp=sharing"",""รวมใต้!J388"")"),222828.65)</f>
        <v>222828.65</v>
      </c>
      <c r="K386" s="42">
        <f t="shared" ca="1" si="277"/>
        <v>99.61048278945016</v>
      </c>
      <c r="L386" s="41"/>
      <c r="M386" s="41"/>
      <c r="N386" s="41"/>
      <c r="O386" s="41"/>
      <c r="P386" s="41"/>
      <c r="Q386" s="41"/>
      <c r="R386" s="41"/>
      <c r="S386" s="41"/>
      <c r="T386" s="41"/>
      <c r="U386" s="41"/>
    </row>
    <row r="387" spans="1:21" ht="12.75" hidden="1" x14ac:dyDescent="0.2">
      <c r="A387" s="235"/>
      <c r="B387" s="236"/>
      <c r="C387" s="236"/>
      <c r="D387" s="236"/>
      <c r="E387" s="236"/>
      <c r="F387" s="236"/>
      <c r="G387" s="328"/>
      <c r="H387" s="328"/>
      <c r="I387" s="241"/>
      <c r="J387" s="241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</row>
    <row r="388" spans="1:21" ht="12.75" hidden="1" x14ac:dyDescent="0.2">
      <c r="A388" s="329"/>
      <c r="B388" s="330"/>
      <c r="C388" s="330"/>
      <c r="D388" s="330"/>
      <c r="E388" s="330"/>
      <c r="F388" s="330"/>
      <c r="G388" s="331"/>
      <c r="H388" s="331"/>
      <c r="I388" s="332"/>
      <c r="J388" s="332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</row>
    <row r="389" spans="1:21" ht="19.5" x14ac:dyDescent="0.3">
      <c r="A389" s="314"/>
      <c r="B389" s="324" t="s">
        <v>158</v>
      </c>
      <c r="C389" s="315"/>
      <c r="D389" s="316"/>
      <c r="E389" s="304"/>
      <c r="F389" s="304"/>
      <c r="G389" s="305"/>
      <c r="H389" s="325" t="s">
        <v>61</v>
      </c>
      <c r="I389" s="334">
        <f t="shared" ref="I389:J389" si="278">I400+I402+I404+I405</f>
        <v>43</v>
      </c>
      <c r="J389" s="334">
        <f t="shared" si="278"/>
        <v>41</v>
      </c>
      <c r="K389" s="308">
        <f>IF(I389&gt;0,J389*100/I389,0)</f>
        <v>95.348837209302332</v>
      </c>
      <c r="L389" s="309"/>
      <c r="M389" s="309"/>
      <c r="N389" s="309"/>
      <c r="O389" s="309"/>
      <c r="P389" s="309"/>
      <c r="Q389" s="309"/>
      <c r="R389" s="309"/>
      <c r="S389" s="309"/>
      <c r="T389" s="309"/>
      <c r="U389" s="309"/>
    </row>
    <row r="390" spans="1:21" ht="19.5" x14ac:dyDescent="0.3">
      <c r="A390" s="142"/>
      <c r="B390" s="170"/>
      <c r="C390" s="143" t="s">
        <v>18</v>
      </c>
      <c r="D390" s="326" t="s">
        <v>19</v>
      </c>
      <c r="E390" s="36"/>
      <c r="F390" s="36"/>
      <c r="G390" s="38"/>
      <c r="H390" s="145" t="s">
        <v>14</v>
      </c>
      <c r="I390" s="40"/>
      <c r="J390" s="40"/>
      <c r="K390" s="41"/>
      <c r="L390" s="146">
        <f t="shared" ref="L390:N390" ca="1" si="279">L391+L392</f>
        <v>28900</v>
      </c>
      <c r="M390" s="146">
        <f t="shared" ca="1" si="279"/>
        <v>28900</v>
      </c>
      <c r="N390" s="146">
        <f t="shared" ca="1" si="279"/>
        <v>28900</v>
      </c>
      <c r="O390" s="146">
        <f t="shared" ref="O390:O398" ca="1" si="280">IF(L390&gt;0,N390*100/L390,0)</f>
        <v>100</v>
      </c>
      <c r="P390" s="146">
        <f t="shared" ref="P390:P398" ca="1" si="281">IF(M390&gt;0,N390*100/M390,0)</f>
        <v>100</v>
      </c>
      <c r="Q390" s="146">
        <f t="shared" ref="Q390:S390" ca="1" si="282">Q391+Q392</f>
        <v>2200990</v>
      </c>
      <c r="R390" s="146">
        <f t="shared" ca="1" si="282"/>
        <v>2200990</v>
      </c>
      <c r="S390" s="146">
        <f t="shared" ca="1" si="282"/>
        <v>1877220.82</v>
      </c>
      <c r="T390" s="146">
        <f t="shared" ref="T390:T398" ca="1" si="283">IF(Q390&gt;0,S390*100/Q390,0)</f>
        <v>85.289838663510508</v>
      </c>
      <c r="U390" s="146">
        <f t="shared" ref="U390:U398" ca="1" si="284">IF(R390&gt;0,S390*100/R390,0)</f>
        <v>85.289838663510508</v>
      </c>
    </row>
    <row r="391" spans="1:21" ht="18.75" x14ac:dyDescent="0.25">
      <c r="A391" s="142"/>
      <c r="B391" s="170"/>
      <c r="C391" s="170"/>
      <c r="D391" s="170"/>
      <c r="E391" s="43" t="s">
        <v>20</v>
      </c>
      <c r="F391" s="36"/>
      <c r="G391" s="38"/>
      <c r="H391" s="147" t="s">
        <v>14</v>
      </c>
      <c r="I391" s="40"/>
      <c r="J391" s="40"/>
      <c r="K391" s="41"/>
      <c r="L391" s="42">
        <f t="shared" ref="L391:N391" ca="1" si="285">L394+L397</f>
        <v>28900</v>
      </c>
      <c r="M391" s="42">
        <f t="shared" ca="1" si="285"/>
        <v>28900</v>
      </c>
      <c r="N391" s="42">
        <f t="shared" ca="1" si="285"/>
        <v>28900</v>
      </c>
      <c r="O391" s="42">
        <f t="shared" ca="1" si="280"/>
        <v>100</v>
      </c>
      <c r="P391" s="42">
        <f t="shared" ca="1" si="281"/>
        <v>100</v>
      </c>
      <c r="Q391" s="42">
        <f ca="1">IFERROR(__xludf.DUMMYFUNCTION("IMPORTRANGE(""https://docs.google.com/spreadsheets/d/1ItG2mGa2ceCfYo0BwxsXqNm01IGEUdYcSSLTEv9YCik/edit?usp=sharing"",""เบิกจ่ายกองทุน!CL11"")"),2200990)</f>
        <v>2200990</v>
      </c>
      <c r="R391" s="42">
        <f ca="1">IFERROR(__xludf.DUMMYFUNCTION("IMPORTRANGE(""https://docs.google.com/spreadsheets/d/1ItG2mGa2ceCfYo0BwxsXqNm01IGEUdYcSSLTEv9YCik/edit?usp=sharing"",""เบิกจ่ายกองทุน!CM11"")"),2200990)</f>
        <v>2200990</v>
      </c>
      <c r="S391" s="42">
        <f ca="1">IFERROR(__xludf.DUMMYFUNCTION("IMPORTRANGE(""https://docs.google.com/spreadsheets/d/1ItG2mGa2ceCfYo0BwxsXqNm01IGEUdYcSSLTEv9YCik/edit?usp=sharing"",""เบิกจ่ายกองทุน!CN11"")"),1877220.82)</f>
        <v>1877220.82</v>
      </c>
      <c r="T391" s="42">
        <f t="shared" ca="1" si="283"/>
        <v>85.289838663510508</v>
      </c>
      <c r="U391" s="42">
        <f t="shared" ca="1" si="284"/>
        <v>85.289838663510508</v>
      </c>
    </row>
    <row r="392" spans="1:21" ht="18.75" x14ac:dyDescent="0.25">
      <c r="A392" s="142"/>
      <c r="B392" s="170"/>
      <c r="C392" s="170"/>
      <c r="D392" s="170"/>
      <c r="E392" s="43" t="s">
        <v>21</v>
      </c>
      <c r="F392" s="36"/>
      <c r="G392" s="38"/>
      <c r="H392" s="147" t="s">
        <v>14</v>
      </c>
      <c r="I392" s="40"/>
      <c r="J392" s="40"/>
      <c r="K392" s="41"/>
      <c r="L392" s="42">
        <f t="shared" ref="L392:N392" ca="1" si="286">L395+L398</f>
        <v>0</v>
      </c>
      <c r="M392" s="42">
        <f t="shared" ca="1" si="286"/>
        <v>0</v>
      </c>
      <c r="N392" s="42">
        <f t="shared" ca="1" si="286"/>
        <v>0</v>
      </c>
      <c r="O392" s="42">
        <f t="shared" ca="1" si="280"/>
        <v>0</v>
      </c>
      <c r="P392" s="42">
        <f t="shared" ca="1" si="281"/>
        <v>0</v>
      </c>
      <c r="Q392" s="42">
        <f t="shared" ref="Q392:S392" ca="1" si="287">Q395+Q398</f>
        <v>0</v>
      </c>
      <c r="R392" s="42">
        <f t="shared" ca="1" si="287"/>
        <v>0</v>
      </c>
      <c r="S392" s="42">
        <f t="shared" ca="1" si="287"/>
        <v>0</v>
      </c>
      <c r="T392" s="42">
        <f t="shared" ca="1" si="283"/>
        <v>0</v>
      </c>
      <c r="U392" s="42">
        <f t="shared" ca="1" si="284"/>
        <v>0</v>
      </c>
    </row>
    <row r="393" spans="1:21" ht="18.75" x14ac:dyDescent="0.25">
      <c r="A393" s="142"/>
      <c r="B393" s="170"/>
      <c r="C393" s="170"/>
      <c r="D393" s="171" t="s">
        <v>22</v>
      </c>
      <c r="E393" s="36"/>
      <c r="F393" s="36"/>
      <c r="G393" s="38"/>
      <c r="H393" s="148" t="s">
        <v>14</v>
      </c>
      <c r="I393" s="149"/>
      <c r="J393" s="149"/>
      <c r="K393" s="150"/>
      <c r="L393" s="42">
        <f t="shared" ref="L393:N393" ca="1" si="288">L394+L395</f>
        <v>28900</v>
      </c>
      <c r="M393" s="42">
        <f t="shared" ca="1" si="288"/>
        <v>28900</v>
      </c>
      <c r="N393" s="42">
        <f t="shared" ca="1" si="288"/>
        <v>28900</v>
      </c>
      <c r="O393" s="42">
        <f t="shared" ca="1" si="280"/>
        <v>100</v>
      </c>
      <c r="P393" s="42">
        <f t="shared" ca="1" si="281"/>
        <v>100</v>
      </c>
      <c r="Q393" s="42">
        <f t="shared" ref="Q393:S393" ca="1" si="289">Q394+Q395</f>
        <v>0</v>
      </c>
      <c r="R393" s="42">
        <f t="shared" ca="1" si="289"/>
        <v>0</v>
      </c>
      <c r="S393" s="42">
        <f t="shared" ca="1" si="289"/>
        <v>0</v>
      </c>
      <c r="T393" s="42">
        <f t="shared" ca="1" si="283"/>
        <v>0</v>
      </c>
      <c r="U393" s="42">
        <f t="shared" ca="1" si="284"/>
        <v>0</v>
      </c>
    </row>
    <row r="394" spans="1:21" ht="18.75" x14ac:dyDescent="0.25">
      <c r="A394" s="142"/>
      <c r="B394" s="170"/>
      <c r="C394" s="170"/>
      <c r="D394" s="170"/>
      <c r="E394" s="43" t="s">
        <v>36</v>
      </c>
      <c r="F394" s="36"/>
      <c r="G394" s="38"/>
      <c r="H394" s="148" t="s">
        <v>14</v>
      </c>
      <c r="I394" s="149"/>
      <c r="J394" s="149"/>
      <c r="K394" s="150"/>
      <c r="L394" s="42">
        <f ca="1">IFERROR(__xludf.DUMMYFUNCTION("IMPORTRANGE(""https://docs.google.com/spreadsheets/d/1-uDff_7J0KD5mKrp0Vvzr7lt3OU09vwQwhkpOPPYv2Y/edit?usp=sharing"",""งบพรบ!HA9"")"),28900)</f>
        <v>28900</v>
      </c>
      <c r="M394" s="42">
        <f ca="1">IFERROR(__xludf.DUMMYFUNCTION("IMPORTRANGE(""https://docs.google.com/spreadsheets/d/1-uDff_7J0KD5mKrp0Vvzr7lt3OU09vwQwhkpOPPYv2Y/edit?usp=sharing"",""งบพรบ!HF9"")"),28900)</f>
        <v>28900</v>
      </c>
      <c r="N394" s="42">
        <f ca="1">IFERROR(__xludf.DUMMYFUNCTION("IMPORTRANGE(""https://docs.google.com/spreadsheets/d/1-uDff_7J0KD5mKrp0Vvzr7lt3OU09vwQwhkpOPPYv2Y/edit?usp=sharing"",""งบพรบ!HH9"")"),28900)</f>
        <v>28900</v>
      </c>
      <c r="O394" s="42">
        <f t="shared" ca="1" si="280"/>
        <v>100</v>
      </c>
      <c r="P394" s="42">
        <f t="shared" ca="1" si="281"/>
        <v>100</v>
      </c>
      <c r="Q394" s="42">
        <v>0</v>
      </c>
      <c r="R394" s="42">
        <v>0</v>
      </c>
      <c r="S394" s="42">
        <v>0</v>
      </c>
      <c r="T394" s="42">
        <f t="shared" si="283"/>
        <v>0</v>
      </c>
      <c r="U394" s="42">
        <f t="shared" si="284"/>
        <v>0</v>
      </c>
    </row>
    <row r="395" spans="1:21" ht="18.75" x14ac:dyDescent="0.25">
      <c r="A395" s="142"/>
      <c r="B395" s="170"/>
      <c r="C395" s="170"/>
      <c r="D395" s="170"/>
      <c r="E395" s="214" t="s">
        <v>37</v>
      </c>
      <c r="F395" s="170"/>
      <c r="G395" s="186"/>
      <c r="H395" s="148" t="s">
        <v>14</v>
      </c>
      <c r="I395" s="149"/>
      <c r="J395" s="149"/>
      <c r="K395" s="150"/>
      <c r="L395" s="42">
        <f ca="1">IFERROR(__xludf.DUMMYFUNCTION("IMPORTRANGE(""https://docs.google.com/spreadsheets/d/12pGRKgvn2b31Uz_fjAl3XPzZUM_F2_O-zAHL2XHEPZg/edit?usp=sharing"",""รวมเหนือ!L397"")+IMPORTRANGE(""https://docs.google.com/spreadsheets/d/1c0UfJUA6nE6esVMy0kRcX_PENtt96DMxicQpqi3tips/edit?usp=sharing"","""&amp;"รวมตะวันออกเฉียงเหนือ!L397"")+IMPORTRANGE(""https://docs.google.com/spreadsheets/d/1iNWbYmj0agxPDl_yJgGu1eIremFPVMUuMWUKAjBzvrk/edit?usp=sharing"",""รวมกลาง!L397"")+IMPORTRANGE(""https://docs.google.com/spreadsheets/d/1uenpWDAH2bchvfvsSIjpd4bRU5D1faxJOaE3"&amp;"4GQM5-c/edit?usp=sharing"",""รวมใต้!L397"")"),0)</f>
        <v>0</v>
      </c>
      <c r="M395" s="42">
        <f ca="1">IFERROR(__xludf.DUMMYFUNCTION("IMPORTRANGE(""https://docs.google.com/spreadsheets/d/12pGRKgvn2b31Uz_fjAl3XPzZUM_F2_O-zAHL2XHEPZg/edit?usp=sharing"",""รวมเหนือ!M397"")+IMPORTRANGE(""https://docs.google.com/spreadsheets/d/1c0UfJUA6nE6esVMy0kRcX_PENtt96DMxicQpqi3tips/edit?usp=sharing"","""&amp;"รวมตะวันออกเฉียงเหนือ!M397"")+IMPORTRANGE(""https://docs.google.com/spreadsheets/d/1iNWbYmj0agxPDl_yJgGu1eIremFPVMUuMWUKAjBzvrk/edit?usp=sharing"",""รวมกลาง!M397"")+IMPORTRANGE(""https://docs.google.com/spreadsheets/d/1uenpWDAH2bchvfvsSIjpd4bRU5D1faxJOaE3"&amp;"4GQM5-c/edit?usp=sharing"",""รวมใต้!M397"")"),0)</f>
        <v>0</v>
      </c>
      <c r="N395" s="42">
        <f ca="1">IFERROR(__xludf.DUMMYFUNCTION("IMPORTRANGE(""https://docs.google.com/spreadsheets/d/12pGRKgvn2b31Uz_fjAl3XPzZUM_F2_O-zAHL2XHEPZg/edit?usp=sharing"",""รวมเหนือ!N397"")+IMPORTRANGE(""https://docs.google.com/spreadsheets/d/1c0UfJUA6nE6esVMy0kRcX_PENtt96DMxicQpqi3tips/edit?usp=sharing"","""&amp;"รวมตะวันออกเฉียงเหนือ!N397"")+IMPORTRANGE(""https://docs.google.com/spreadsheets/d/1iNWbYmj0agxPDl_yJgGu1eIremFPVMUuMWUKAjBzvrk/edit?usp=sharing"",""รวมกลาง!N397"")+IMPORTRANGE(""https://docs.google.com/spreadsheets/d/1uenpWDAH2bchvfvsSIjpd4bRU5D1faxJOaE3"&amp;"4GQM5-c/edit?usp=sharing"",""รวมใต้!N397"")"),0)</f>
        <v>0</v>
      </c>
      <c r="O395" s="42">
        <f t="shared" ca="1" si="280"/>
        <v>0</v>
      </c>
      <c r="P395" s="42">
        <f t="shared" ca="1" si="281"/>
        <v>0</v>
      </c>
      <c r="Q395" s="42">
        <f ca="1">IFERROR(__xludf.DUMMYFUNCTION("IMPORTRANGE(""https://docs.google.com/spreadsheets/d/12pGRKgvn2b31Uz_fjAl3XPzZUM_F2_O-zAHL2XHEPZg/edit?usp=sharing"",""รวมเหนือ!Q397"")+IMPORTRANGE(""https://docs.google.com/spreadsheets/d/1c0UfJUA6nE6esVMy0kRcX_PENtt96DMxicQpqi3tips/edit?usp=sharing"","""&amp;"รวมตะวันออกเฉียงเหนือ!Q397"")+IMPORTRANGE(""https://docs.google.com/spreadsheets/d/1iNWbYmj0agxPDl_yJgGu1eIremFPVMUuMWUKAjBzvrk/edit?usp=sharing"",""รวมกลาง!Q397"")+IMPORTRANGE(""https://docs.google.com/spreadsheets/d/1uenpWDAH2bchvfvsSIjpd4bRU5D1faxJOaE3"&amp;"4GQM5-c/edit?usp=sharing"",""รวมใต้!Q397"")"),0)</f>
        <v>0</v>
      </c>
      <c r="R395" s="42">
        <f ca="1">IFERROR(__xludf.DUMMYFUNCTION("IMPORTRANGE(""https://docs.google.com/spreadsheets/d/12pGRKgvn2b31Uz_fjAl3XPzZUM_F2_O-zAHL2XHEPZg/edit?usp=sharing"",""รวมเหนือ!R397"")+IMPORTRANGE(""https://docs.google.com/spreadsheets/d/1c0UfJUA6nE6esVMy0kRcX_PENtt96DMxicQpqi3tips/edit?usp=sharing"","""&amp;"รวมตะวันออกเฉียงเหนือ!R397"")+IMPORTRANGE(""https://docs.google.com/spreadsheets/d/1iNWbYmj0agxPDl_yJgGu1eIremFPVMUuMWUKAjBzvrk/edit?usp=sharing"",""รวมกลาง!R397"")+IMPORTRANGE(""https://docs.google.com/spreadsheets/d/1uenpWDAH2bchvfvsSIjpd4bRU5D1faxJOaE3"&amp;"4GQM5-c/edit?usp=sharing"",""รวมใต้!R397"")"),0)</f>
        <v>0</v>
      </c>
      <c r="S395" s="42">
        <f ca="1">IFERROR(__xludf.DUMMYFUNCTION("IMPORTRANGE(""https://docs.google.com/spreadsheets/d/12pGRKgvn2b31Uz_fjAl3XPzZUM_F2_O-zAHL2XHEPZg/edit?usp=sharing"",""รวมเหนือ!S397"")+IMPORTRANGE(""https://docs.google.com/spreadsheets/d/1c0UfJUA6nE6esVMy0kRcX_PENtt96DMxicQpqi3tips/edit?usp=sharing"","""&amp;"รวมตะวันออกเฉียงเหนือ!S397"")+IMPORTRANGE(""https://docs.google.com/spreadsheets/d/1iNWbYmj0agxPDl_yJgGu1eIremFPVMUuMWUKAjBzvrk/edit?usp=sharing"",""รวมกลาง!S397"")+IMPORTRANGE(""https://docs.google.com/spreadsheets/d/1uenpWDAH2bchvfvsSIjpd4bRU5D1faxJOaE3"&amp;"4GQM5-c/edit?usp=sharing"",""รวมใต้!S397"")"),0)</f>
        <v>0</v>
      </c>
      <c r="T395" s="42">
        <f t="shared" ca="1" si="283"/>
        <v>0</v>
      </c>
      <c r="U395" s="42">
        <f t="shared" ca="1" si="284"/>
        <v>0</v>
      </c>
    </row>
    <row r="396" spans="1:21" ht="18.75" x14ac:dyDescent="0.25">
      <c r="A396" s="142"/>
      <c r="B396" s="170"/>
      <c r="C396" s="170"/>
      <c r="D396" s="171" t="s">
        <v>23</v>
      </c>
      <c r="E396" s="36"/>
      <c r="F396" s="36"/>
      <c r="G396" s="38"/>
      <c r="H396" s="151" t="s">
        <v>14</v>
      </c>
      <c r="I396" s="149"/>
      <c r="J396" s="149"/>
      <c r="K396" s="150"/>
      <c r="L396" s="42">
        <f t="shared" ref="L396:N396" ca="1" si="290">L397+L398</f>
        <v>0</v>
      </c>
      <c r="M396" s="42">
        <f t="shared" ca="1" si="290"/>
        <v>0</v>
      </c>
      <c r="N396" s="42">
        <f t="shared" ca="1" si="290"/>
        <v>0</v>
      </c>
      <c r="O396" s="42">
        <f t="shared" ca="1" si="280"/>
        <v>0</v>
      </c>
      <c r="P396" s="42">
        <f t="shared" ca="1" si="281"/>
        <v>0</v>
      </c>
      <c r="Q396" s="42">
        <f t="shared" ref="Q396:S396" ca="1" si="291">Q397+Q398</f>
        <v>0</v>
      </c>
      <c r="R396" s="42">
        <f t="shared" ca="1" si="291"/>
        <v>0</v>
      </c>
      <c r="S396" s="42">
        <f t="shared" ca="1" si="291"/>
        <v>0</v>
      </c>
      <c r="T396" s="42">
        <f t="shared" ca="1" si="283"/>
        <v>0</v>
      </c>
      <c r="U396" s="42">
        <f t="shared" ca="1" si="284"/>
        <v>0</v>
      </c>
    </row>
    <row r="397" spans="1:21" ht="18.75" x14ac:dyDescent="0.25">
      <c r="A397" s="142"/>
      <c r="B397" s="170"/>
      <c r="C397" s="170"/>
      <c r="D397" s="170"/>
      <c r="E397" s="43" t="s">
        <v>20</v>
      </c>
      <c r="F397" s="36"/>
      <c r="G397" s="38"/>
      <c r="H397" s="148" t="s">
        <v>14</v>
      </c>
      <c r="I397" s="149"/>
      <c r="J397" s="149"/>
      <c r="K397" s="150"/>
      <c r="L397" s="42">
        <f ca="1">IFERROR(__xludf.DUMMYFUNCTION("IMPORTRANGE(""https://docs.google.com/spreadsheets/d/1-uDff_7J0KD5mKrp0Vvzr7lt3OU09vwQwhkpOPPYv2Y/edit?usp=sharing"",""งบพรบ!HD9"")"),0)</f>
        <v>0</v>
      </c>
      <c r="M397" s="42">
        <f ca="1">IFERROR(__xludf.DUMMYFUNCTION("IMPORTRANGE(""https://docs.google.com/spreadsheets/d/1-uDff_7J0KD5mKrp0Vvzr7lt3OU09vwQwhkpOPPYv2Y/edit?usp=sharing"",""งบพรบ!HG9"")"),0)</f>
        <v>0</v>
      </c>
      <c r="N397" s="42">
        <f ca="1">IFERROR(__xludf.DUMMYFUNCTION("IMPORTRANGE(""https://docs.google.com/spreadsheets/d/1-uDff_7J0KD5mKrp0Vvzr7lt3OU09vwQwhkpOPPYv2Y/edit?usp=sharing"",""งบพรบ!HI9"")"),0)</f>
        <v>0</v>
      </c>
      <c r="O397" s="42">
        <f t="shared" ca="1" si="280"/>
        <v>0</v>
      </c>
      <c r="P397" s="42">
        <f t="shared" ca="1" si="281"/>
        <v>0</v>
      </c>
      <c r="Q397" s="42">
        <v>0</v>
      </c>
      <c r="R397" s="42">
        <v>0</v>
      </c>
      <c r="S397" s="42">
        <v>0</v>
      </c>
      <c r="T397" s="42">
        <f t="shared" si="283"/>
        <v>0</v>
      </c>
      <c r="U397" s="42">
        <f t="shared" si="284"/>
        <v>0</v>
      </c>
    </row>
    <row r="398" spans="1:21" ht="18.75" x14ac:dyDescent="0.25">
      <c r="A398" s="142"/>
      <c r="B398" s="170"/>
      <c r="C398" s="170"/>
      <c r="D398" s="170"/>
      <c r="E398" s="43" t="s">
        <v>21</v>
      </c>
      <c r="F398" s="36"/>
      <c r="G398" s="38"/>
      <c r="H398" s="151" t="s">
        <v>14</v>
      </c>
      <c r="I398" s="149"/>
      <c r="J398" s="149"/>
      <c r="K398" s="150"/>
      <c r="L398" s="42">
        <f ca="1">IFERROR(__xludf.DUMMYFUNCTION("IMPORTRANGE(""https://docs.google.com/spreadsheets/d/12pGRKgvn2b31Uz_fjAl3XPzZUM_F2_O-zAHL2XHEPZg/edit?usp=sharing"",""รวมเหนือ!L400"")+IMPORTRANGE(""https://docs.google.com/spreadsheets/d/1c0UfJUA6nE6esVMy0kRcX_PENtt96DMxicQpqi3tips/edit?usp=sharing"","""&amp;"รวมตะวันออกเฉียงเหนือ!L400"")+IMPORTRANGE(""https://docs.google.com/spreadsheets/d/1iNWbYmj0agxPDl_yJgGu1eIremFPVMUuMWUKAjBzvrk/edit?usp=sharing"",""รวมกลาง!L400"")+IMPORTRANGE(""https://docs.google.com/spreadsheets/d/1uenpWDAH2bchvfvsSIjpd4bRU5D1faxJOaE3"&amp;"4GQM5-c/edit?usp=sharing"",""รวมใต้!L400"")"),0)</f>
        <v>0</v>
      </c>
      <c r="M398" s="42">
        <f ca="1">IFERROR(__xludf.DUMMYFUNCTION("IMPORTRANGE(""https://docs.google.com/spreadsheets/d/12pGRKgvn2b31Uz_fjAl3XPzZUM_F2_O-zAHL2XHEPZg/edit?usp=sharing"",""รวมเหนือ!M400"")+IMPORTRANGE(""https://docs.google.com/spreadsheets/d/1c0UfJUA6nE6esVMy0kRcX_PENtt96DMxicQpqi3tips/edit?usp=sharing"","""&amp;"รวมตะวันออกเฉียงเหนือ!M400"")+IMPORTRANGE(""https://docs.google.com/spreadsheets/d/1iNWbYmj0agxPDl_yJgGu1eIremFPVMUuMWUKAjBzvrk/edit?usp=sharing"",""รวมกลาง!M400"")+IMPORTRANGE(""https://docs.google.com/spreadsheets/d/1uenpWDAH2bchvfvsSIjpd4bRU5D1faxJOaE3"&amp;"4GQM5-c/edit?usp=sharing"",""รวมใต้!M400"")"),0)</f>
        <v>0</v>
      </c>
      <c r="N398" s="42">
        <f ca="1">IFERROR(__xludf.DUMMYFUNCTION("IMPORTRANGE(""https://docs.google.com/spreadsheets/d/12pGRKgvn2b31Uz_fjAl3XPzZUM_F2_O-zAHL2XHEPZg/edit?usp=sharing"",""รวมเหนือ!N400"")+IMPORTRANGE(""https://docs.google.com/spreadsheets/d/1c0UfJUA6nE6esVMy0kRcX_PENtt96DMxicQpqi3tips/edit?usp=sharing"","""&amp;"รวมตะวันออกเฉียงเหนือ!N400"")+IMPORTRANGE(""https://docs.google.com/spreadsheets/d/1iNWbYmj0agxPDl_yJgGu1eIremFPVMUuMWUKAjBzvrk/edit?usp=sharing"",""รวมกลาง!N400"")+IMPORTRANGE(""https://docs.google.com/spreadsheets/d/1uenpWDAH2bchvfvsSIjpd4bRU5D1faxJOaE3"&amp;"4GQM5-c/edit?usp=sharing"",""รวมใต้!N400"")"),0)</f>
        <v>0</v>
      </c>
      <c r="O398" s="42">
        <f t="shared" ca="1" si="280"/>
        <v>0</v>
      </c>
      <c r="P398" s="42">
        <f t="shared" ca="1" si="281"/>
        <v>0</v>
      </c>
      <c r="Q398" s="42">
        <f ca="1">IFERROR(__xludf.DUMMYFUNCTION("IMPORTRANGE(""https://docs.google.com/spreadsheets/d/12pGRKgvn2b31Uz_fjAl3XPzZUM_F2_O-zAHL2XHEPZg/edit?usp=sharing"",""รวมเหนือ!Q400"")+IMPORTRANGE(""https://docs.google.com/spreadsheets/d/1c0UfJUA6nE6esVMy0kRcX_PENtt96DMxicQpqi3tips/edit?usp=sharing"","""&amp;"รวมตะวันออกเฉียงเหนือ!Q400"")+IMPORTRANGE(""https://docs.google.com/spreadsheets/d/1iNWbYmj0agxPDl_yJgGu1eIremFPVMUuMWUKAjBzvrk/edit?usp=sharing"",""รวมกลาง!Q400"")+IMPORTRANGE(""https://docs.google.com/spreadsheets/d/1uenpWDAH2bchvfvsSIjpd4bRU5D1faxJOaE3"&amp;"4GQM5-c/edit?usp=sharing"",""รวมใต้!Q400"")"),0)</f>
        <v>0</v>
      </c>
      <c r="R398" s="42">
        <f ca="1">IFERROR(__xludf.DUMMYFUNCTION("IMPORTRANGE(""https://docs.google.com/spreadsheets/d/12pGRKgvn2b31Uz_fjAl3XPzZUM_F2_O-zAHL2XHEPZg/edit?usp=sharing"",""รวมเหนือ!R400"")+IMPORTRANGE(""https://docs.google.com/spreadsheets/d/1c0UfJUA6nE6esVMy0kRcX_PENtt96DMxicQpqi3tips/edit?usp=sharing"","""&amp;"รวมตะวันออกเฉียงเหนือ!R400"")+IMPORTRANGE(""https://docs.google.com/spreadsheets/d/1iNWbYmj0agxPDl_yJgGu1eIremFPVMUuMWUKAjBzvrk/edit?usp=sharing"",""รวมกลาง!R400"")+IMPORTRANGE(""https://docs.google.com/spreadsheets/d/1uenpWDAH2bchvfvsSIjpd4bRU5D1faxJOaE3"&amp;"4GQM5-c/edit?usp=sharing"",""รวมใต้!R400"")"),0)</f>
        <v>0</v>
      </c>
      <c r="S398" s="42">
        <f ca="1">IFERROR(__xludf.DUMMYFUNCTION("IMPORTRANGE(""https://docs.google.com/spreadsheets/d/12pGRKgvn2b31Uz_fjAl3XPzZUM_F2_O-zAHL2XHEPZg/edit?usp=sharing"",""รวมเหนือ!S400"")+IMPORTRANGE(""https://docs.google.com/spreadsheets/d/1c0UfJUA6nE6esVMy0kRcX_PENtt96DMxicQpqi3tips/edit?usp=sharing"","""&amp;"รวมตะวันออกเฉียงเหนือ!S400"")+IMPORTRANGE(""https://docs.google.com/spreadsheets/d/1iNWbYmj0agxPDl_yJgGu1eIremFPVMUuMWUKAjBzvrk/edit?usp=sharing"",""รวมกลาง!S400"")+IMPORTRANGE(""https://docs.google.com/spreadsheets/d/1uenpWDAH2bchvfvsSIjpd4bRU5D1faxJOaE3"&amp;"4GQM5-c/edit?usp=sharing"",""รวมใต้!S400"")"),0)</f>
        <v>0</v>
      </c>
      <c r="T398" s="42">
        <f t="shared" ca="1" si="283"/>
        <v>0</v>
      </c>
      <c r="U398" s="42">
        <f t="shared" ca="1" si="284"/>
        <v>0</v>
      </c>
    </row>
    <row r="399" spans="1:21" ht="19.5" x14ac:dyDescent="0.3">
      <c r="A399" s="152"/>
      <c r="B399" s="153"/>
      <c r="C399" s="143" t="s">
        <v>18</v>
      </c>
      <c r="D399" s="327" t="s">
        <v>38</v>
      </c>
      <c r="E399" s="155"/>
      <c r="F399" s="155"/>
      <c r="G399" s="156"/>
      <c r="H399" s="185"/>
      <c r="I399" s="149"/>
      <c r="J399" s="40"/>
      <c r="K399" s="41"/>
      <c r="L399" s="41"/>
      <c r="M399" s="41"/>
      <c r="N399" s="41"/>
      <c r="O399" s="150"/>
      <c r="P399" s="150"/>
      <c r="Q399" s="41"/>
      <c r="R399" s="41"/>
      <c r="S399" s="41"/>
      <c r="T399" s="150"/>
      <c r="U399" s="150"/>
    </row>
    <row r="400" spans="1:21" ht="18.75" x14ac:dyDescent="0.25">
      <c r="A400" s="335"/>
      <c r="B400" s="214"/>
      <c r="C400" s="214"/>
      <c r="D400" s="255" t="s">
        <v>159</v>
      </c>
      <c r="E400" s="43"/>
      <c r="F400" s="43"/>
      <c r="G400" s="93"/>
      <c r="H400" s="147" t="s">
        <v>61</v>
      </c>
      <c r="I400" s="94">
        <v>8</v>
      </c>
      <c r="J400" s="94">
        <v>8</v>
      </c>
      <c r="K400" s="45">
        <f t="shared" ref="K400:K406" si="292">IF(I400&gt;0,J400*100/I400,0)</f>
        <v>100</v>
      </c>
      <c r="L400" s="45"/>
      <c r="M400" s="45"/>
      <c r="N400" s="45"/>
      <c r="O400" s="45"/>
      <c r="P400" s="45"/>
      <c r="Q400" s="45"/>
      <c r="R400" s="45"/>
      <c r="S400" s="45"/>
      <c r="T400" s="45"/>
      <c r="U400" s="45"/>
    </row>
    <row r="401" spans="1:21" ht="18.75" x14ac:dyDescent="0.25">
      <c r="A401" s="335"/>
      <c r="B401" s="214"/>
      <c r="C401" s="214"/>
      <c r="D401" s="43"/>
      <c r="E401" s="43"/>
      <c r="F401" s="43"/>
      <c r="G401" s="93"/>
      <c r="H401" s="147" t="s">
        <v>46</v>
      </c>
      <c r="I401" s="94">
        <v>90494</v>
      </c>
      <c r="J401" s="94">
        <v>90494</v>
      </c>
      <c r="K401" s="45">
        <f t="shared" si="292"/>
        <v>100</v>
      </c>
      <c r="L401" s="45"/>
      <c r="M401" s="45"/>
      <c r="N401" s="45"/>
      <c r="O401" s="45"/>
      <c r="P401" s="45"/>
      <c r="Q401" s="45"/>
      <c r="R401" s="45"/>
      <c r="S401" s="45"/>
      <c r="T401" s="45"/>
      <c r="U401" s="45"/>
    </row>
    <row r="402" spans="1:21" ht="18.75" x14ac:dyDescent="0.25">
      <c r="A402" s="335"/>
      <c r="B402" s="214"/>
      <c r="C402" s="214"/>
      <c r="D402" s="255" t="s">
        <v>160</v>
      </c>
      <c r="E402" s="43"/>
      <c r="F402" s="43"/>
      <c r="G402" s="93"/>
      <c r="H402" s="147" t="s">
        <v>61</v>
      </c>
      <c r="I402" s="94">
        <v>10</v>
      </c>
      <c r="J402" s="94">
        <v>8</v>
      </c>
      <c r="K402" s="45">
        <f t="shared" si="292"/>
        <v>80</v>
      </c>
      <c r="L402" s="45"/>
      <c r="M402" s="45"/>
      <c r="N402" s="45"/>
      <c r="O402" s="45"/>
      <c r="P402" s="45"/>
      <c r="Q402" s="45"/>
      <c r="R402" s="45"/>
      <c r="S402" s="45"/>
      <c r="T402" s="45"/>
      <c r="U402" s="45"/>
    </row>
    <row r="403" spans="1:21" ht="18.75" x14ac:dyDescent="0.25">
      <c r="A403" s="335"/>
      <c r="B403" s="214"/>
      <c r="C403" s="214"/>
      <c r="D403" s="43"/>
      <c r="E403" s="43"/>
      <c r="F403" s="43"/>
      <c r="G403" s="93"/>
      <c r="H403" s="147" t="s">
        <v>34</v>
      </c>
      <c r="I403" s="94">
        <v>10</v>
      </c>
      <c r="J403" s="94">
        <v>8</v>
      </c>
      <c r="K403" s="45">
        <f t="shared" si="292"/>
        <v>80</v>
      </c>
      <c r="L403" s="45"/>
      <c r="M403" s="45"/>
      <c r="N403" s="45"/>
      <c r="O403" s="45"/>
      <c r="P403" s="45"/>
      <c r="Q403" s="45"/>
      <c r="R403" s="45"/>
      <c r="S403" s="45"/>
      <c r="T403" s="45"/>
      <c r="U403" s="45"/>
    </row>
    <row r="404" spans="1:21" ht="18.75" x14ac:dyDescent="0.25">
      <c r="A404" s="335"/>
      <c r="B404" s="214"/>
      <c r="C404" s="214"/>
      <c r="D404" s="255" t="s">
        <v>161</v>
      </c>
      <c r="E404" s="214"/>
      <c r="F404" s="214"/>
      <c r="G404" s="336"/>
      <c r="H404" s="147" t="s">
        <v>61</v>
      </c>
      <c r="I404" s="94">
        <v>18</v>
      </c>
      <c r="J404" s="94">
        <v>18</v>
      </c>
      <c r="K404" s="45">
        <f t="shared" si="292"/>
        <v>100</v>
      </c>
      <c r="L404" s="45"/>
      <c r="M404" s="45"/>
      <c r="N404" s="45"/>
      <c r="O404" s="45"/>
      <c r="P404" s="45"/>
      <c r="Q404" s="45"/>
      <c r="R404" s="45"/>
      <c r="S404" s="45"/>
      <c r="T404" s="45"/>
      <c r="U404" s="45"/>
    </row>
    <row r="405" spans="1:21" ht="18.75" x14ac:dyDescent="0.25">
      <c r="A405" s="335"/>
      <c r="B405" s="214"/>
      <c r="C405" s="214"/>
      <c r="D405" s="255" t="s">
        <v>162</v>
      </c>
      <c r="E405" s="214"/>
      <c r="F405" s="214"/>
      <c r="G405" s="336"/>
      <c r="H405" s="147" t="s">
        <v>61</v>
      </c>
      <c r="I405" s="94">
        <v>7</v>
      </c>
      <c r="J405" s="94">
        <v>7</v>
      </c>
      <c r="K405" s="45">
        <f t="shared" si="292"/>
        <v>100</v>
      </c>
      <c r="L405" s="45"/>
      <c r="M405" s="45"/>
      <c r="N405" s="45"/>
      <c r="O405" s="45"/>
      <c r="P405" s="45"/>
      <c r="Q405" s="45"/>
      <c r="R405" s="45"/>
      <c r="S405" s="45"/>
      <c r="T405" s="45"/>
      <c r="U405" s="45"/>
    </row>
    <row r="406" spans="1:21" ht="18.75" x14ac:dyDescent="0.25">
      <c r="A406" s="335"/>
      <c r="B406" s="214"/>
      <c r="C406" s="214"/>
      <c r="D406" s="337"/>
      <c r="E406" s="214"/>
      <c r="F406" s="214"/>
      <c r="G406" s="336"/>
      <c r="H406" s="147" t="s">
        <v>163</v>
      </c>
      <c r="I406" s="94">
        <v>37.155000000000001</v>
      </c>
      <c r="J406" s="94">
        <v>37.875</v>
      </c>
      <c r="K406" s="45">
        <f t="shared" si="292"/>
        <v>101.93782801776342</v>
      </c>
      <c r="L406" s="45"/>
      <c r="M406" s="45"/>
      <c r="N406" s="45"/>
      <c r="O406" s="45"/>
      <c r="P406" s="45"/>
      <c r="Q406" s="45"/>
      <c r="R406" s="45"/>
      <c r="S406" s="45"/>
      <c r="T406" s="45"/>
      <c r="U406" s="45"/>
    </row>
    <row r="407" spans="1:21" ht="18.75" hidden="1" x14ac:dyDescent="0.25">
      <c r="A407" s="335"/>
      <c r="B407" s="214"/>
      <c r="C407" s="214"/>
      <c r="D407" s="214"/>
      <c r="E407" s="214"/>
      <c r="F407" s="214"/>
      <c r="G407" s="336"/>
      <c r="H407" s="147"/>
      <c r="I407" s="94"/>
      <c r="J407" s="94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</row>
    <row r="408" spans="1:21" ht="12.75" hidden="1" x14ac:dyDescent="0.2">
      <c r="A408" s="235"/>
      <c r="B408" s="236"/>
      <c r="C408" s="236"/>
      <c r="D408" s="236"/>
      <c r="E408" s="236"/>
      <c r="F408" s="236"/>
      <c r="G408" s="328"/>
      <c r="H408" s="328"/>
      <c r="I408" s="241"/>
      <c r="J408" s="241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</row>
    <row r="409" spans="1:21" ht="12.75" hidden="1" x14ac:dyDescent="0.2">
      <c r="A409" s="329"/>
      <c r="B409" s="330"/>
      <c r="C409" s="330"/>
      <c r="D409" s="338"/>
      <c r="E409" s="330"/>
      <c r="F409" s="330"/>
      <c r="G409" s="331"/>
      <c r="H409" s="331"/>
      <c r="I409" s="332"/>
      <c r="J409" s="332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</row>
    <row r="410" spans="1:21" ht="19.5" x14ac:dyDescent="0.3">
      <c r="A410" s="302"/>
      <c r="B410" s="324" t="s">
        <v>164</v>
      </c>
      <c r="C410" s="316"/>
      <c r="D410" s="339"/>
      <c r="E410" s="316"/>
      <c r="F410" s="316"/>
      <c r="G410" s="340"/>
      <c r="H410" s="341" t="s">
        <v>46</v>
      </c>
      <c r="I410" s="307">
        <f t="shared" ref="I410:J410" ca="1" si="293">I421</f>
        <v>2512907</v>
      </c>
      <c r="J410" s="307">
        <f t="shared" ca="1" si="293"/>
        <v>2513080.5814999999</v>
      </c>
      <c r="K410" s="308">
        <f ca="1">IF(I410&gt;0,J410*100/I410,0)</f>
        <v>100.00690759745585</v>
      </c>
      <c r="L410" s="309"/>
      <c r="M410" s="309"/>
      <c r="N410" s="309"/>
      <c r="O410" s="309"/>
      <c r="P410" s="309"/>
      <c r="Q410" s="309"/>
      <c r="R410" s="309"/>
      <c r="S410" s="309"/>
      <c r="T410" s="309"/>
      <c r="U410" s="309"/>
    </row>
    <row r="411" spans="1:21" ht="19.5" x14ac:dyDescent="0.3">
      <c r="A411" s="142"/>
      <c r="B411" s="170"/>
      <c r="C411" s="143" t="s">
        <v>18</v>
      </c>
      <c r="D411" s="537" t="s">
        <v>19</v>
      </c>
      <c r="E411" s="535"/>
      <c r="F411" s="535"/>
      <c r="G411" s="536"/>
      <c r="H411" s="342" t="s">
        <v>14</v>
      </c>
      <c r="I411" s="40"/>
      <c r="J411" s="40"/>
      <c r="K411" s="41"/>
      <c r="L411" s="146">
        <f t="shared" ref="L411:N411" ca="1" si="294">L412+L413</f>
        <v>32898100</v>
      </c>
      <c r="M411" s="146">
        <f t="shared" ca="1" si="294"/>
        <v>32898100</v>
      </c>
      <c r="N411" s="146">
        <f t="shared" ca="1" si="294"/>
        <v>31317654.640000001</v>
      </c>
      <c r="O411" s="146">
        <f t="shared" ref="O411:O419" ca="1" si="295">IF(L411&gt;0,N411*100/L411,0)</f>
        <v>95.195937272973211</v>
      </c>
      <c r="P411" s="146">
        <f t="shared" ref="P411:P419" ca="1" si="296">IF(M411&gt;0,N411*100/M411,0)</f>
        <v>95.195937272973211</v>
      </c>
      <c r="Q411" s="146">
        <f t="shared" ref="Q411:S411" ca="1" si="297">Q412+Q413</f>
        <v>5838100</v>
      </c>
      <c r="R411" s="146">
        <f t="shared" ca="1" si="297"/>
        <v>5838100</v>
      </c>
      <c r="S411" s="146">
        <f t="shared" ca="1" si="297"/>
        <v>4910659.45</v>
      </c>
      <c r="T411" s="146">
        <f t="shared" ref="T411:T419" ca="1" si="298">IF(Q411&gt;0,S411*100/Q411,0)</f>
        <v>84.114000274061766</v>
      </c>
      <c r="U411" s="146">
        <f t="shared" ref="U411:U419" ca="1" si="299">IF(R411&gt;0,S411*100/R411,0)</f>
        <v>84.114000274061766</v>
      </c>
    </row>
    <row r="412" spans="1:21" ht="18.75" x14ac:dyDescent="0.25">
      <c r="A412" s="142"/>
      <c r="B412" s="170"/>
      <c r="C412" s="170"/>
      <c r="D412" s="170"/>
      <c r="E412" s="214" t="s">
        <v>165</v>
      </c>
      <c r="F412" s="170"/>
      <c r="G412" s="186"/>
      <c r="H412" s="184" t="s">
        <v>14</v>
      </c>
      <c r="I412" s="40"/>
      <c r="J412" s="40"/>
      <c r="K412" s="41"/>
      <c r="L412" s="42">
        <f t="shared" ref="L412:N412" ca="1" si="300">L415+L418</f>
        <v>12415470</v>
      </c>
      <c r="M412" s="42">
        <f t="shared" ca="1" si="300"/>
        <v>9750351.75</v>
      </c>
      <c r="N412" s="42">
        <f t="shared" ca="1" si="300"/>
        <v>8169906.79</v>
      </c>
      <c r="O412" s="42">
        <f t="shared" ca="1" si="295"/>
        <v>65.804248973256747</v>
      </c>
      <c r="P412" s="42">
        <f t="shared" ca="1" si="296"/>
        <v>83.790892877274914</v>
      </c>
      <c r="Q412" s="42">
        <f ca="1">IFERROR(__xludf.DUMMYFUNCTION("IMPORTRANGE(""https://docs.google.com/spreadsheets/d/1ItG2mGa2ceCfYo0BwxsXqNm01IGEUdYcSSLTEv9YCik/edit?usp=sharing"",""เบิกจ่ายกองทุน!BZ11"")"),2250660)</f>
        <v>2250660</v>
      </c>
      <c r="R412" s="42">
        <f ca="1">IFERROR(__xludf.DUMMYFUNCTION("IMPORTRANGE(""https://docs.google.com/spreadsheets/d/1ItG2mGa2ceCfYo0BwxsXqNm01IGEUdYcSSLTEv9YCik/edit?usp=sharing"",""เบิกจ่ายกองทุน!CA11"")"),2250660)</f>
        <v>2250660</v>
      </c>
      <c r="S412" s="42">
        <f ca="1">IFERROR(__xludf.DUMMYFUNCTION("IMPORTRANGE(""https://docs.google.com/spreadsheets/d/1ItG2mGa2ceCfYo0BwxsXqNm01IGEUdYcSSLTEv9YCik/edit?usp=sharing"",""เบิกจ่ายกองทุน!CB11"")"),1798194.2)</f>
        <v>1798194.2</v>
      </c>
      <c r="T412" s="42">
        <f t="shared" ca="1" si="298"/>
        <v>79.896305972470302</v>
      </c>
      <c r="U412" s="42">
        <f t="shared" ca="1" si="299"/>
        <v>79.896305972470302</v>
      </c>
    </row>
    <row r="413" spans="1:21" ht="18.75" x14ac:dyDescent="0.25">
      <c r="A413" s="142"/>
      <c r="B413" s="170"/>
      <c r="C413" s="170"/>
      <c r="D413" s="170"/>
      <c r="E413" s="214" t="s">
        <v>166</v>
      </c>
      <c r="F413" s="170"/>
      <c r="G413" s="186"/>
      <c r="H413" s="184" t="s">
        <v>14</v>
      </c>
      <c r="I413" s="40"/>
      <c r="J413" s="40"/>
      <c r="K413" s="41"/>
      <c r="L413" s="42">
        <f t="shared" ref="L413:N413" ca="1" si="301">L416+L419</f>
        <v>20482630</v>
      </c>
      <c r="M413" s="42">
        <f t="shared" ca="1" si="301"/>
        <v>23147748.25</v>
      </c>
      <c r="N413" s="42">
        <f t="shared" ca="1" si="301"/>
        <v>23147747.850000001</v>
      </c>
      <c r="O413" s="42">
        <f t="shared" ca="1" si="295"/>
        <v>113.01159982873293</v>
      </c>
      <c r="P413" s="42">
        <f t="shared" ca="1" si="296"/>
        <v>99.999998271970142</v>
      </c>
      <c r="Q413" s="42">
        <f ca="1">IFERROR(__xludf.DUMMYFUNCTION("IMPORTRANGE(""https://docs.google.com/spreadsheets/d/12pGRKgvn2b31Uz_fjAl3XPzZUM_F2_O-zAHL2XHEPZg/edit?usp=sharing"",""รวมเหนือ!Q418"")+IMPORTRANGE(""https://docs.google.com/spreadsheets/d/1c0UfJUA6nE6esVMy0kRcX_PENtt96DMxicQpqi3tips/edit?usp=sharing"","""&amp;"รวมตะวันออกเฉียงเหนือ!Q418"")+IMPORTRANGE(""https://docs.google.com/spreadsheets/d/1iNWbYmj0agxPDl_yJgGu1eIremFPVMUuMWUKAjBzvrk/edit?usp=sharing"",""รวมกลาง!Q418"")+IMPORTRANGE(""https://docs.google.com/spreadsheets/d/1uenpWDAH2bchvfvsSIjpd4bRU5D1faxJOaE3"&amp;"4GQM5-c/edit?usp=sharing"",""รวมใต้!Q418"")"),3587440)</f>
        <v>3587440</v>
      </c>
      <c r="R413" s="42">
        <f ca="1">IFERROR(__xludf.DUMMYFUNCTION("IMPORTRANGE(""https://docs.google.com/spreadsheets/d/12pGRKgvn2b31Uz_fjAl3XPzZUM_F2_O-zAHL2XHEPZg/edit?usp=sharing"",""รวมเหนือ!R418"")+IMPORTRANGE(""https://docs.google.com/spreadsheets/d/1c0UfJUA6nE6esVMy0kRcX_PENtt96DMxicQpqi3tips/edit?usp=sharing"","""&amp;"รวมตะวันออกเฉียงเหนือ!R418"")+IMPORTRANGE(""https://docs.google.com/spreadsheets/d/1iNWbYmj0agxPDl_yJgGu1eIremFPVMUuMWUKAjBzvrk/edit?usp=sharing"",""รวมกลาง!R418"")+IMPORTRANGE(""https://docs.google.com/spreadsheets/d/1uenpWDAH2bchvfvsSIjpd4bRU5D1faxJOaE3"&amp;"4GQM5-c/edit?usp=sharing"",""รวมใต้!R418"")"),3587440)</f>
        <v>3587440</v>
      </c>
      <c r="S413" s="42">
        <f ca="1">IFERROR(__xludf.DUMMYFUNCTION("IMPORTRANGE(""https://docs.google.com/spreadsheets/d/12pGRKgvn2b31Uz_fjAl3XPzZUM_F2_O-zAHL2XHEPZg/edit?usp=sharing"",""รวมเหนือ!S418"")+IMPORTRANGE(""https://docs.google.com/spreadsheets/d/1c0UfJUA6nE6esVMy0kRcX_PENtt96DMxicQpqi3tips/edit?usp=sharing"","""&amp;"รวมตะวันออกเฉียงเหนือ!S418"")+IMPORTRANGE(""https://docs.google.com/spreadsheets/d/1iNWbYmj0agxPDl_yJgGu1eIremFPVMUuMWUKAjBzvrk/edit?usp=sharing"",""รวมกลาง!S418"")+IMPORTRANGE(""https://docs.google.com/spreadsheets/d/1uenpWDAH2bchvfvsSIjpd4bRU5D1faxJOaE3"&amp;"4GQM5-c/edit?usp=sharing"",""รวมใต้!S418"")"),3112465.25)</f>
        <v>3112465.25</v>
      </c>
      <c r="T413" s="42">
        <f t="shared" ca="1" si="298"/>
        <v>86.76006427982071</v>
      </c>
      <c r="U413" s="42">
        <f t="shared" ca="1" si="299"/>
        <v>86.76006427982071</v>
      </c>
    </row>
    <row r="414" spans="1:21" ht="19.5" x14ac:dyDescent="0.3">
      <c r="A414" s="142"/>
      <c r="B414" s="170"/>
      <c r="C414" s="170"/>
      <c r="D414" s="326" t="s">
        <v>22</v>
      </c>
      <c r="E414" s="170"/>
      <c r="F414" s="170"/>
      <c r="G414" s="186"/>
      <c r="H414" s="342" t="s">
        <v>14</v>
      </c>
      <c r="I414" s="40"/>
      <c r="J414" s="40"/>
      <c r="K414" s="41"/>
      <c r="L414" s="42">
        <f t="shared" ref="L414:N414" ca="1" si="302">L415+L416</f>
        <v>32898100</v>
      </c>
      <c r="M414" s="42">
        <f t="shared" ca="1" si="302"/>
        <v>32898100</v>
      </c>
      <c r="N414" s="42">
        <f t="shared" ca="1" si="302"/>
        <v>31317654.640000001</v>
      </c>
      <c r="O414" s="42">
        <f t="shared" ca="1" si="295"/>
        <v>95.195937272973211</v>
      </c>
      <c r="P414" s="42">
        <f t="shared" ca="1" si="296"/>
        <v>95.195937272973211</v>
      </c>
      <c r="Q414" s="42">
        <f t="shared" ref="Q414:S414" si="303">Q415+Q416</f>
        <v>0</v>
      </c>
      <c r="R414" s="42">
        <f t="shared" si="303"/>
        <v>0</v>
      </c>
      <c r="S414" s="42">
        <f t="shared" si="303"/>
        <v>0</v>
      </c>
      <c r="T414" s="42">
        <f t="shared" si="298"/>
        <v>0</v>
      </c>
      <c r="U414" s="42">
        <f t="shared" si="299"/>
        <v>0</v>
      </c>
    </row>
    <row r="415" spans="1:21" ht="18.75" x14ac:dyDescent="0.25">
      <c r="A415" s="142"/>
      <c r="B415" s="170"/>
      <c r="C415" s="170"/>
      <c r="D415" s="170"/>
      <c r="E415" s="214" t="s">
        <v>165</v>
      </c>
      <c r="F415" s="170"/>
      <c r="G415" s="186"/>
      <c r="H415" s="184" t="s">
        <v>14</v>
      </c>
      <c r="I415" s="40"/>
      <c r="J415" s="40"/>
      <c r="K415" s="41"/>
      <c r="L415" s="42">
        <f ca="1">IFERROR(__xludf.DUMMYFUNCTION("IMPORTRANGE(""https://docs.google.com/spreadsheets/d/1-uDff_7J0KD5mKrp0Vvzr7lt3OU09vwQwhkpOPPYv2Y/edit?usp=sharing"",""งบพรบ!IO9"")"),12415470)</f>
        <v>12415470</v>
      </c>
      <c r="M415" s="42">
        <f ca="1">IFERROR(__xludf.DUMMYFUNCTION("IMPORTRANGE(""https://docs.google.com/spreadsheets/d/1-uDff_7J0KD5mKrp0Vvzr7lt3OU09vwQwhkpOPPYv2Y/edit?usp=sharing"",""งบพรบ!IT9"")"),9750351.75)</f>
        <v>9750351.75</v>
      </c>
      <c r="N415" s="42">
        <f ca="1">IFERROR(__xludf.DUMMYFUNCTION("IMPORTRANGE(""https://docs.google.com/spreadsheets/d/1-uDff_7J0KD5mKrp0Vvzr7lt3OU09vwQwhkpOPPYv2Y/edit?usp=sharing"",""งบพรบ!IV9"")"),8169906.79)</f>
        <v>8169906.79</v>
      </c>
      <c r="O415" s="42">
        <f t="shared" ca="1" si="295"/>
        <v>65.804248973256747</v>
      </c>
      <c r="P415" s="42">
        <f t="shared" ca="1" si="296"/>
        <v>83.790892877274914</v>
      </c>
      <c r="Q415" s="42">
        <v>0</v>
      </c>
      <c r="R415" s="42">
        <v>0</v>
      </c>
      <c r="S415" s="42">
        <v>0</v>
      </c>
      <c r="T415" s="42">
        <f t="shared" si="298"/>
        <v>0</v>
      </c>
      <c r="U415" s="42">
        <f t="shared" si="299"/>
        <v>0</v>
      </c>
    </row>
    <row r="416" spans="1:21" ht="18.75" x14ac:dyDescent="0.25">
      <c r="A416" s="142"/>
      <c r="B416" s="170"/>
      <c r="C416" s="170"/>
      <c r="D416" s="170"/>
      <c r="E416" s="214" t="s">
        <v>166</v>
      </c>
      <c r="F416" s="170"/>
      <c r="G416" s="186"/>
      <c r="H416" s="184" t="s">
        <v>14</v>
      </c>
      <c r="I416" s="40"/>
      <c r="J416" s="40"/>
      <c r="K416" s="41"/>
      <c r="L416" s="42">
        <f ca="1">IFERROR(__xludf.DUMMYFUNCTION("IMPORTRANGE(""https://docs.google.com/spreadsheets/d/12pGRKgvn2b31Uz_fjAl3XPzZUM_F2_O-zAHL2XHEPZg/edit?usp=sharing"",""รวมเหนือ!L418"")+IMPORTRANGE(""https://docs.google.com/spreadsheets/d/1c0UfJUA6nE6esVMy0kRcX_PENtt96DMxicQpqi3tips/edit?usp=sharing"","""&amp;"รวมตะวันออกเฉียงเหนือ!L418"")+IMPORTRANGE(""https://docs.google.com/spreadsheets/d/1iNWbYmj0agxPDl_yJgGu1eIremFPVMUuMWUKAjBzvrk/edit?usp=sharing"",""รวมกลาง!L418"")+IMPORTRANGE(""https://docs.google.com/spreadsheets/d/1uenpWDAH2bchvfvsSIjpd4bRU5D1faxJOaE3"&amp;"4GQM5-c/edit?usp=sharing"",""รวมใต้!L418"")"),20482630)</f>
        <v>20482630</v>
      </c>
      <c r="M416" s="42">
        <f ca="1">IFERROR(__xludf.DUMMYFUNCTION("IMPORTRANGE(""https://docs.google.com/spreadsheets/d/12pGRKgvn2b31Uz_fjAl3XPzZUM_F2_O-zAHL2XHEPZg/edit?usp=sharing"",""รวมเหนือ!M418"")+IMPORTRANGE(""https://docs.google.com/spreadsheets/d/1c0UfJUA6nE6esVMy0kRcX_PENtt96DMxicQpqi3tips/edit?usp=sharing"","""&amp;"รวมตะวันออกเฉียงเหนือ!M418"")+IMPORTRANGE(""https://docs.google.com/spreadsheets/d/1iNWbYmj0agxPDl_yJgGu1eIremFPVMUuMWUKAjBzvrk/edit?usp=sharing"",""รวมกลาง!M418"")+IMPORTRANGE(""https://docs.google.com/spreadsheets/d/1uenpWDAH2bchvfvsSIjpd4bRU5D1faxJOaE3"&amp;"4GQM5-c/edit?usp=sharing"",""รวมใต้!M418"")"),23147748.25)</f>
        <v>23147748.25</v>
      </c>
      <c r="N416" s="42">
        <f ca="1">IFERROR(__xludf.DUMMYFUNCTION("IMPORTRANGE(""https://docs.google.com/spreadsheets/d/12pGRKgvn2b31Uz_fjAl3XPzZUM_F2_O-zAHL2XHEPZg/edit?usp=sharing"",""รวมเหนือ!N418"")+IMPORTRANGE(""https://docs.google.com/spreadsheets/d/1c0UfJUA6nE6esVMy0kRcX_PENtt96DMxicQpqi3tips/edit?usp=sharing"","""&amp;"รวมตะวันออกเฉียงเหนือ!N418"")+IMPORTRANGE(""https://docs.google.com/spreadsheets/d/1iNWbYmj0agxPDl_yJgGu1eIremFPVMUuMWUKAjBzvrk/edit?usp=sharing"",""รวมกลาง!N418"")+IMPORTRANGE(""https://docs.google.com/spreadsheets/d/1uenpWDAH2bchvfvsSIjpd4bRU5D1faxJOaE3"&amp;"4GQM5-c/edit?usp=sharing"",""รวมใต้!N418"")"),23147747.85)</f>
        <v>23147747.850000001</v>
      </c>
      <c r="O416" s="42">
        <f t="shared" ca="1" si="295"/>
        <v>113.01159982873293</v>
      </c>
      <c r="P416" s="42">
        <f t="shared" ca="1" si="296"/>
        <v>99.999998271970142</v>
      </c>
      <c r="Q416" s="42">
        <v>0</v>
      </c>
      <c r="R416" s="42">
        <v>0</v>
      </c>
      <c r="S416" s="42">
        <v>0</v>
      </c>
      <c r="T416" s="42">
        <f t="shared" si="298"/>
        <v>0</v>
      </c>
      <c r="U416" s="42">
        <f t="shared" si="299"/>
        <v>0</v>
      </c>
    </row>
    <row r="417" spans="1:21" ht="19.5" x14ac:dyDescent="0.3">
      <c r="A417" s="142"/>
      <c r="B417" s="170"/>
      <c r="C417" s="170"/>
      <c r="D417" s="326" t="s">
        <v>23</v>
      </c>
      <c r="E417" s="170"/>
      <c r="F417" s="170"/>
      <c r="G417" s="186"/>
      <c r="H417" s="145" t="s">
        <v>14</v>
      </c>
      <c r="I417" s="40"/>
      <c r="J417" s="40"/>
      <c r="K417" s="41"/>
      <c r="L417" s="42">
        <f t="shared" ref="L417:N417" ca="1" si="304">L418+L419</f>
        <v>0</v>
      </c>
      <c r="M417" s="42">
        <f t="shared" ca="1" si="304"/>
        <v>0</v>
      </c>
      <c r="N417" s="42">
        <f t="shared" ca="1" si="304"/>
        <v>0</v>
      </c>
      <c r="O417" s="42">
        <f t="shared" ca="1" si="295"/>
        <v>0</v>
      </c>
      <c r="P417" s="42">
        <f t="shared" ca="1" si="296"/>
        <v>0</v>
      </c>
      <c r="Q417" s="42">
        <f t="shared" ref="Q417:S417" ca="1" si="305">Q418+Q419</f>
        <v>0</v>
      </c>
      <c r="R417" s="42">
        <f t="shared" ca="1" si="305"/>
        <v>0</v>
      </c>
      <c r="S417" s="42">
        <f t="shared" ca="1" si="305"/>
        <v>0</v>
      </c>
      <c r="T417" s="42">
        <f t="shared" ca="1" si="298"/>
        <v>0</v>
      </c>
      <c r="U417" s="42">
        <f t="shared" ca="1" si="299"/>
        <v>0</v>
      </c>
    </row>
    <row r="418" spans="1:21" ht="18.75" x14ac:dyDescent="0.25">
      <c r="A418" s="142"/>
      <c r="B418" s="170"/>
      <c r="C418" s="170"/>
      <c r="D418" s="170"/>
      <c r="E418" s="214" t="s">
        <v>20</v>
      </c>
      <c r="F418" s="170"/>
      <c r="G418" s="186"/>
      <c r="H418" s="184" t="s">
        <v>14</v>
      </c>
      <c r="I418" s="40"/>
      <c r="J418" s="40"/>
      <c r="K418" s="41"/>
      <c r="L418" s="42">
        <f ca="1">IFERROR(__xludf.DUMMYFUNCTION("IMPORTRANGE(""https://docs.google.com/spreadsheets/d/1-uDff_7J0KD5mKrp0Vvzr7lt3OU09vwQwhkpOPPYv2Y/edit?usp=sharing"",""งบพรบ!IR9"")"),0)</f>
        <v>0</v>
      </c>
      <c r="M418" s="42">
        <f ca="1">IFERROR(__xludf.DUMMYFUNCTION("IMPORTRANGE(""https://docs.google.com/spreadsheets/d/1-uDff_7J0KD5mKrp0Vvzr7lt3OU09vwQwhkpOPPYv2Y/edit?usp=sharing"",""งบพรบ!IU9"")"),0)</f>
        <v>0</v>
      </c>
      <c r="N418" s="42">
        <f ca="1">IFERROR(__xludf.DUMMYFUNCTION("IMPORTRANGE(""https://docs.google.com/spreadsheets/d/1-uDff_7J0KD5mKrp0Vvzr7lt3OU09vwQwhkpOPPYv2Y/edit?usp=sharing"",""งบพรบ!IW9"")"),0)</f>
        <v>0</v>
      </c>
      <c r="O418" s="42">
        <f t="shared" ca="1" si="295"/>
        <v>0</v>
      </c>
      <c r="P418" s="42">
        <f t="shared" ca="1" si="296"/>
        <v>0</v>
      </c>
      <c r="Q418" s="42">
        <v>0</v>
      </c>
      <c r="R418" s="42">
        <v>0</v>
      </c>
      <c r="S418" s="42">
        <v>0</v>
      </c>
      <c r="T418" s="42">
        <f t="shared" si="298"/>
        <v>0</v>
      </c>
      <c r="U418" s="42">
        <f t="shared" si="299"/>
        <v>0</v>
      </c>
    </row>
    <row r="419" spans="1:21" ht="18.75" x14ac:dyDescent="0.25">
      <c r="A419" s="142"/>
      <c r="B419" s="170"/>
      <c r="C419" s="170"/>
      <c r="D419" s="170"/>
      <c r="E419" s="214" t="s">
        <v>21</v>
      </c>
      <c r="F419" s="170"/>
      <c r="G419" s="186"/>
      <c r="H419" s="147" t="s">
        <v>14</v>
      </c>
      <c r="I419" s="40"/>
      <c r="J419" s="40"/>
      <c r="K419" s="41"/>
      <c r="L419" s="42">
        <f ca="1">IFERROR(__xludf.DUMMYFUNCTION("IMPORTRANGE(""https://docs.google.com/spreadsheets/d/12pGRKgvn2b31Uz_fjAl3XPzZUM_F2_O-zAHL2XHEPZg/edit?usp=sharing"",""รวมเหนือ!L421"")+IMPORTRANGE(""https://docs.google.com/spreadsheets/d/1c0UfJUA6nE6esVMy0kRcX_PENtt96DMxicQpqi3tips/edit?usp=sharing"","""&amp;"รวมตะวันออกเฉียงเหนือ!L421"")+IMPORTRANGE(""https://docs.google.com/spreadsheets/d/1iNWbYmj0agxPDl_yJgGu1eIremFPVMUuMWUKAjBzvrk/edit?usp=sharing"",""รวมกลาง!L421"")+IMPORTRANGE(""https://docs.google.com/spreadsheets/d/1uenpWDAH2bchvfvsSIjpd4bRU5D1faxJOaE3"&amp;"4GQM5-c/edit?usp=sharing"",""รวมใต้!L421"")"),0)</f>
        <v>0</v>
      </c>
      <c r="M419" s="42">
        <f ca="1">IFERROR(__xludf.DUMMYFUNCTION("IMPORTRANGE(""https://docs.google.com/spreadsheets/d/12pGRKgvn2b31Uz_fjAl3XPzZUM_F2_O-zAHL2XHEPZg/edit?usp=sharing"",""รวมเหนือ!M421"")+IMPORTRANGE(""https://docs.google.com/spreadsheets/d/1c0UfJUA6nE6esVMy0kRcX_PENtt96DMxicQpqi3tips/edit?usp=sharing"","""&amp;"รวมตะวันออกเฉียงเหนือ!M421"")+IMPORTRANGE(""https://docs.google.com/spreadsheets/d/1iNWbYmj0agxPDl_yJgGu1eIremFPVMUuMWUKAjBzvrk/edit?usp=sharing"",""รวมกลาง!M421"")+IMPORTRANGE(""https://docs.google.com/spreadsheets/d/1uenpWDAH2bchvfvsSIjpd4bRU5D1faxJOaE3"&amp;"4GQM5-c/edit?usp=sharing"",""รวมใต้!M421"")"),0)</f>
        <v>0</v>
      </c>
      <c r="N419" s="42">
        <f ca="1">IFERROR(__xludf.DUMMYFUNCTION("IMPORTRANGE(""https://docs.google.com/spreadsheets/d/12pGRKgvn2b31Uz_fjAl3XPzZUM_F2_O-zAHL2XHEPZg/edit?usp=sharing"",""รวมเหนือ!N421"")+IMPORTRANGE(""https://docs.google.com/spreadsheets/d/1c0UfJUA6nE6esVMy0kRcX_PENtt96DMxicQpqi3tips/edit?usp=sharing"","""&amp;"รวมตะวันออกเฉียงเหนือ!N421"")+IMPORTRANGE(""https://docs.google.com/spreadsheets/d/1iNWbYmj0agxPDl_yJgGu1eIremFPVMUuMWUKAjBzvrk/edit?usp=sharing"",""รวมกลาง!N421"")+IMPORTRANGE(""https://docs.google.com/spreadsheets/d/1uenpWDAH2bchvfvsSIjpd4bRU5D1faxJOaE3"&amp;"4GQM5-c/edit?usp=sharing"",""รวมใต้!N421"")"),0)</f>
        <v>0</v>
      </c>
      <c r="O419" s="42">
        <f t="shared" ca="1" si="295"/>
        <v>0</v>
      </c>
      <c r="P419" s="42">
        <f t="shared" ca="1" si="296"/>
        <v>0</v>
      </c>
      <c r="Q419" s="42">
        <f ca="1">IFERROR(__xludf.DUMMYFUNCTION("IMPORTRANGE(""https://docs.google.com/spreadsheets/d/12pGRKgvn2b31Uz_fjAl3XPzZUM_F2_O-zAHL2XHEPZg/edit?usp=sharing"",""รวมเหนือ!Q421"")+IMPORTRANGE(""https://docs.google.com/spreadsheets/d/1c0UfJUA6nE6esVMy0kRcX_PENtt96DMxicQpqi3tips/edit?usp=sharing"","""&amp;"รวมตะวันออกเฉียงเหนือ!Q421"")+IMPORTRANGE(""https://docs.google.com/spreadsheets/d/1iNWbYmj0agxPDl_yJgGu1eIremFPVMUuMWUKAjBzvrk/edit?usp=sharing"",""รวมกลาง!Q421"")+IMPORTRANGE(""https://docs.google.com/spreadsheets/d/1uenpWDAH2bchvfvsSIjpd4bRU5D1faxJOaE3"&amp;"4GQM5-c/edit?usp=sharing"",""รวมใต้!Q421"")"),0)</f>
        <v>0</v>
      </c>
      <c r="R419" s="42">
        <f ca="1">IFERROR(__xludf.DUMMYFUNCTION("IMPORTRANGE(""https://docs.google.com/spreadsheets/d/12pGRKgvn2b31Uz_fjAl3XPzZUM_F2_O-zAHL2XHEPZg/edit?usp=sharing"",""รวมเหนือ!R421"")+IMPORTRANGE(""https://docs.google.com/spreadsheets/d/1c0UfJUA6nE6esVMy0kRcX_PENtt96DMxicQpqi3tips/edit?usp=sharing"","""&amp;"รวมตะวันออกเฉียงเหนือ!R421"")+IMPORTRANGE(""https://docs.google.com/spreadsheets/d/1iNWbYmj0agxPDl_yJgGu1eIremFPVMUuMWUKAjBzvrk/edit?usp=sharing"",""รวมกลาง!R421"")+IMPORTRANGE(""https://docs.google.com/spreadsheets/d/1uenpWDAH2bchvfvsSIjpd4bRU5D1faxJOaE3"&amp;"4GQM5-c/edit?usp=sharing"",""รวมใต้!R421"")"),0)</f>
        <v>0</v>
      </c>
      <c r="S419" s="42">
        <f ca="1">IFERROR(__xludf.DUMMYFUNCTION("IMPORTRANGE(""https://docs.google.com/spreadsheets/d/12pGRKgvn2b31Uz_fjAl3XPzZUM_F2_O-zAHL2XHEPZg/edit?usp=sharing"",""รวมเหนือ!S421"")+IMPORTRANGE(""https://docs.google.com/spreadsheets/d/1c0UfJUA6nE6esVMy0kRcX_PENtt96DMxicQpqi3tips/edit?usp=sharing"","""&amp;"รวมตะวันออกเฉียงเหนือ!S421"")+IMPORTRANGE(""https://docs.google.com/spreadsheets/d/1iNWbYmj0agxPDl_yJgGu1eIremFPVMUuMWUKAjBzvrk/edit?usp=sharing"",""รวมกลาง!S421"")+IMPORTRANGE(""https://docs.google.com/spreadsheets/d/1uenpWDAH2bchvfvsSIjpd4bRU5D1faxJOaE3"&amp;"4GQM5-c/edit?usp=sharing"",""รวมใต้!S421"")"),0)</f>
        <v>0</v>
      </c>
      <c r="T419" s="42">
        <f t="shared" ca="1" si="298"/>
        <v>0</v>
      </c>
      <c r="U419" s="42">
        <f t="shared" ca="1" si="299"/>
        <v>0</v>
      </c>
    </row>
    <row r="420" spans="1:21" ht="19.5" x14ac:dyDescent="0.3">
      <c r="A420" s="213"/>
      <c r="B420" s="170"/>
      <c r="C420" s="143" t="s">
        <v>18</v>
      </c>
      <c r="D420" s="343" t="s">
        <v>38</v>
      </c>
      <c r="E420" s="170"/>
      <c r="F420" s="170"/>
      <c r="G420" s="186"/>
      <c r="H420" s="186"/>
      <c r="I420" s="40"/>
      <c r="J420" s="40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</row>
    <row r="421" spans="1:21" ht="19.5" x14ac:dyDescent="0.3">
      <c r="A421" s="344"/>
      <c r="B421" s="345" t="s">
        <v>167</v>
      </c>
      <c r="C421" s="346"/>
      <c r="D421" s="346"/>
      <c r="E421" s="346"/>
      <c r="F421" s="346"/>
      <c r="G421" s="347"/>
      <c r="H421" s="348" t="s">
        <v>46</v>
      </c>
      <c r="I421" s="349">
        <f ca="1">I438</f>
        <v>2512907</v>
      </c>
      <c r="J421" s="349">
        <f ca="1">J430</f>
        <v>2513080.5814999999</v>
      </c>
      <c r="K421" s="350">
        <f t="shared" ref="K421:K423" ca="1" si="306">IF(I421&gt;0,J421*100/I421,0)</f>
        <v>100.00690759745585</v>
      </c>
      <c r="L421" s="41"/>
      <c r="M421" s="41"/>
      <c r="N421" s="41"/>
      <c r="O421" s="41"/>
      <c r="P421" s="41"/>
      <c r="Q421" s="41"/>
      <c r="R421" s="41"/>
      <c r="S421" s="41"/>
      <c r="T421" s="41"/>
      <c r="U421" s="41"/>
    </row>
    <row r="422" spans="1:21" ht="19.5" x14ac:dyDescent="0.3">
      <c r="A422" s="213"/>
      <c r="B422" s="170"/>
      <c r="C422" s="351" t="s">
        <v>168</v>
      </c>
      <c r="D422" s="170"/>
      <c r="E422" s="170"/>
      <c r="F422" s="170"/>
      <c r="G422" s="186"/>
      <c r="H422" s="145" t="s">
        <v>46</v>
      </c>
      <c r="I422" s="161">
        <f ca="1">IFERROR(__xludf.DUMMYFUNCTION("IMPORTRANGE(""https://docs.google.com/spreadsheets/d/12pGRKgvn2b31Uz_fjAl3XPzZUM_F2_O-zAHL2XHEPZg/edit?usp=sharing"",""รวมเหนือ!I424"")+IMPORTRANGE(""https://docs.google.com/spreadsheets/d/1c0UfJUA6nE6esVMy0kRcX_PENtt96DMxicQpqi3tips/edit?usp=sharing"","""&amp;"รวมตะวันออกเฉียงเหนือ!I424"")+IMPORTRANGE(""https://docs.google.com/spreadsheets/d/1iNWbYmj0agxPDl_yJgGu1eIremFPVMUuMWUKAjBzvrk/edit?usp=sharing"",""รวมกลาง!I424"")+IMPORTRANGE(""https://docs.google.com/spreadsheets/d/1uenpWDAH2bchvfvsSIjpd4bRU5D1faxJOaE3"&amp;"4GQM5-c/edit?usp=sharing"",""รวมใต้!I424"")"),2512907)</f>
        <v>2512907</v>
      </c>
      <c r="J422" s="161">
        <f t="shared" ref="J422:J423" ca="1" si="307">J424+J426+J428</f>
        <v>2449467.5685000001</v>
      </c>
      <c r="K422" s="146">
        <f t="shared" ca="1" si="306"/>
        <v>97.475456453422268</v>
      </c>
      <c r="L422" s="41"/>
      <c r="M422" s="41"/>
      <c r="N422" s="41"/>
      <c r="O422" s="41"/>
      <c r="P422" s="41"/>
      <c r="Q422" s="41"/>
      <c r="R422" s="41"/>
      <c r="S422" s="41"/>
      <c r="T422" s="41"/>
      <c r="U422" s="41"/>
    </row>
    <row r="423" spans="1:21" ht="19.5" x14ac:dyDescent="0.3">
      <c r="A423" s="213"/>
      <c r="B423" s="170"/>
      <c r="C423" s="170"/>
      <c r="D423" s="170"/>
      <c r="E423" s="170"/>
      <c r="F423" s="170"/>
      <c r="G423" s="186"/>
      <c r="H423" s="145" t="s">
        <v>34</v>
      </c>
      <c r="I423" s="161">
        <f ca="1">IFERROR(__xludf.DUMMYFUNCTION("IMPORTRANGE(""https://docs.google.com/spreadsheets/d/12pGRKgvn2b31Uz_fjAl3XPzZUM_F2_O-zAHL2XHEPZg/edit?usp=sharing"",""รวมเหนือ!I425"")+IMPORTRANGE(""https://docs.google.com/spreadsheets/d/1c0UfJUA6nE6esVMy0kRcX_PENtt96DMxicQpqi3tips/edit?usp=sharing"","""&amp;"รวมตะวันออกเฉียงเหนือ!I425"")+IMPORTRANGE(""https://docs.google.com/spreadsheets/d/1iNWbYmj0agxPDl_yJgGu1eIremFPVMUuMWUKAjBzvrk/edit?usp=sharing"",""รวมกลาง!I425"")+IMPORTRANGE(""https://docs.google.com/spreadsheets/d/1uenpWDAH2bchvfvsSIjpd4bRU5D1faxJOaE3"&amp;"4GQM5-c/edit?usp=sharing"",""รวมใต้!I425"")"),273026)</f>
        <v>273026</v>
      </c>
      <c r="J423" s="161">
        <f t="shared" ca="1" si="307"/>
        <v>267670.3</v>
      </c>
      <c r="K423" s="146">
        <f t="shared" ca="1" si="306"/>
        <v>98.038391948019608</v>
      </c>
      <c r="L423" s="41"/>
      <c r="M423" s="41"/>
      <c r="N423" s="41"/>
      <c r="O423" s="41"/>
      <c r="P423" s="41"/>
      <c r="Q423" s="41"/>
      <c r="R423" s="41"/>
      <c r="S423" s="41"/>
      <c r="T423" s="41"/>
      <c r="U423" s="41"/>
    </row>
    <row r="424" spans="1:21" ht="18.75" x14ac:dyDescent="0.25">
      <c r="A424" s="213"/>
      <c r="B424" s="170"/>
      <c r="C424" s="170"/>
      <c r="D424" s="214" t="s">
        <v>169</v>
      </c>
      <c r="E424" s="170"/>
      <c r="F424" s="170"/>
      <c r="G424" s="186"/>
      <c r="H424" s="147" t="s">
        <v>46</v>
      </c>
      <c r="I424" s="40"/>
      <c r="J424" s="176">
        <f ca="1">IFERROR(__xludf.DUMMYFUNCTION("IMPORTRANGE(""https://docs.google.com/spreadsheets/d/12pGRKgvn2b31Uz_fjAl3XPzZUM_F2_O-zAHL2XHEPZg/edit?usp=sharing"",""รวมเหนือ!J426"")+IMPORTRANGE(""https://docs.google.com/spreadsheets/d/1c0UfJUA6nE6esVMy0kRcX_PENtt96DMxicQpqi3tips/edit?usp=sharing"","""&amp;"รวมตะวันออกเฉียงเหนือ!J426"")+IMPORTRANGE(""https://docs.google.com/spreadsheets/d/1iNWbYmj0agxPDl_yJgGu1eIremFPVMUuMWUKAjBzvrk/edit?usp=sharing"",""รวมกลาง!J426"")+IMPORTRANGE(""https://docs.google.com/spreadsheets/d/1uenpWDAH2bchvfvsSIjpd4bRU5D1faxJOaE3"&amp;"4GQM5-c/edit?usp=sharing"",""รวมใต้!J426"")"),1812913.596)</f>
        <v>1812913.5959999999</v>
      </c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</row>
    <row r="425" spans="1:21" ht="18.75" x14ac:dyDescent="0.25">
      <c r="A425" s="213"/>
      <c r="B425" s="170"/>
      <c r="C425" s="170"/>
      <c r="D425" s="170"/>
      <c r="E425" s="170"/>
      <c r="F425" s="170"/>
      <c r="G425" s="186"/>
      <c r="H425" s="147" t="s">
        <v>34</v>
      </c>
      <c r="I425" s="40"/>
      <c r="J425" s="176">
        <f ca="1">IFERROR(__xludf.DUMMYFUNCTION("IMPORTRANGE(""https://docs.google.com/spreadsheets/d/12pGRKgvn2b31Uz_fjAl3XPzZUM_F2_O-zAHL2XHEPZg/edit?usp=sharing"",""รวมเหนือ!J427"")+IMPORTRANGE(""https://docs.google.com/spreadsheets/d/1c0UfJUA6nE6esVMy0kRcX_PENtt96DMxicQpqi3tips/edit?usp=sharing"","""&amp;"รวมตะวันออกเฉียงเหนือ!J427"")+IMPORTRANGE(""https://docs.google.com/spreadsheets/d/1iNWbYmj0agxPDl_yJgGu1eIremFPVMUuMWUKAjBzvrk/edit?usp=sharing"",""รวมกลาง!J427"")+IMPORTRANGE(""https://docs.google.com/spreadsheets/d/1uenpWDAH2bchvfvsSIjpd4bRU5D1faxJOaE3"&amp;"4GQM5-c/edit?usp=sharing"",""รวมใต้!J427"")"),208041)</f>
        <v>208041</v>
      </c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</row>
    <row r="426" spans="1:21" ht="18.75" x14ac:dyDescent="0.25">
      <c r="A426" s="213"/>
      <c r="B426" s="170"/>
      <c r="C426" s="170"/>
      <c r="D426" s="214" t="s">
        <v>170</v>
      </c>
      <c r="E426" s="170"/>
      <c r="F426" s="170"/>
      <c r="G426" s="186"/>
      <c r="H426" s="147" t="s">
        <v>46</v>
      </c>
      <c r="I426" s="40"/>
      <c r="J426" s="176">
        <f ca="1">IFERROR(__xludf.DUMMYFUNCTION("IMPORTRANGE(""https://docs.google.com/spreadsheets/d/12pGRKgvn2b31Uz_fjAl3XPzZUM_F2_O-zAHL2XHEPZg/edit?usp=sharing"",""รวมเหนือ!J428"")+IMPORTRANGE(""https://docs.google.com/spreadsheets/d/1c0UfJUA6nE6esVMy0kRcX_PENtt96DMxicQpqi3tips/edit?usp=sharing"","""&amp;"รวมตะวันออกเฉียงเหนือ!J428"")+IMPORTRANGE(""https://docs.google.com/spreadsheets/d/1iNWbYmj0agxPDl_yJgGu1eIremFPVMUuMWUKAjBzvrk/edit?usp=sharing"",""รวมกลาง!J428"")+IMPORTRANGE(""https://docs.google.com/spreadsheets/d/1uenpWDAH2bchvfvsSIjpd4bRU5D1faxJOaE3"&amp;"4GQM5-c/edit?usp=sharing"",""รวมใต้!J428"")"),509739.1825)</f>
        <v>509739.1825</v>
      </c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</row>
    <row r="427" spans="1:21" ht="18.75" x14ac:dyDescent="0.25">
      <c r="A427" s="213"/>
      <c r="B427" s="170"/>
      <c r="C427" s="170"/>
      <c r="D427" s="170"/>
      <c r="E427" s="170"/>
      <c r="F427" s="170"/>
      <c r="G427" s="186"/>
      <c r="H427" s="147" t="s">
        <v>34</v>
      </c>
      <c r="I427" s="40"/>
      <c r="J427" s="176">
        <f ca="1">IFERROR(__xludf.DUMMYFUNCTION("IMPORTRANGE(""https://docs.google.com/spreadsheets/d/12pGRKgvn2b31Uz_fjAl3XPzZUM_F2_O-zAHL2XHEPZg/edit?usp=sharing"",""รวมเหนือ!J429"")+IMPORTRANGE(""https://docs.google.com/spreadsheets/d/1c0UfJUA6nE6esVMy0kRcX_PENtt96DMxicQpqi3tips/edit?usp=sharing"","""&amp;"รวมตะวันออกเฉียงเหนือ!J429"")+IMPORTRANGE(""https://docs.google.com/spreadsheets/d/1iNWbYmj0agxPDl_yJgGu1eIremFPVMUuMWUKAjBzvrk/edit?usp=sharing"",""รวมกลาง!J429"")+IMPORTRANGE(""https://docs.google.com/spreadsheets/d/1uenpWDAH2bchvfvsSIjpd4bRU5D1faxJOaE3"&amp;"4GQM5-c/edit?usp=sharing"",""รวมใต้!J429"")"),44205)</f>
        <v>44205</v>
      </c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</row>
    <row r="428" spans="1:21" ht="18.75" x14ac:dyDescent="0.25">
      <c r="A428" s="213"/>
      <c r="B428" s="170"/>
      <c r="C428" s="170"/>
      <c r="D428" s="214" t="s">
        <v>171</v>
      </c>
      <c r="E428" s="170"/>
      <c r="F428" s="170"/>
      <c r="G428" s="186"/>
      <c r="H428" s="147" t="s">
        <v>46</v>
      </c>
      <c r="I428" s="40"/>
      <c r="J428" s="176">
        <f ca="1">IFERROR(__xludf.DUMMYFUNCTION("IMPORTRANGE(""https://docs.google.com/spreadsheets/d/12pGRKgvn2b31Uz_fjAl3XPzZUM_F2_O-zAHL2XHEPZg/edit?usp=sharing"",""รวมเหนือ!J430"")+IMPORTRANGE(""https://docs.google.com/spreadsheets/d/1c0UfJUA6nE6esVMy0kRcX_PENtt96DMxicQpqi3tips/edit?usp=sharing"","""&amp;"รวมตะวันออกเฉียงเหนือ!J430"")+IMPORTRANGE(""https://docs.google.com/spreadsheets/d/1iNWbYmj0agxPDl_yJgGu1eIremFPVMUuMWUKAjBzvrk/edit?usp=sharing"",""รวมกลาง!J430"")+IMPORTRANGE(""https://docs.google.com/spreadsheets/d/1uenpWDAH2bchvfvsSIjpd4bRU5D1faxJOaE3"&amp;"4GQM5-c/edit?usp=sharing"",""รวมใต้!J430"")"),126814.79)</f>
        <v>126814.79</v>
      </c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</row>
    <row r="429" spans="1:21" ht="18.75" x14ac:dyDescent="0.25">
      <c r="A429" s="213"/>
      <c r="B429" s="170"/>
      <c r="C429" s="170"/>
      <c r="D429" s="170"/>
      <c r="E429" s="170"/>
      <c r="F429" s="170"/>
      <c r="G429" s="186"/>
      <c r="H429" s="147" t="s">
        <v>34</v>
      </c>
      <c r="I429" s="40"/>
      <c r="J429" s="176">
        <f ca="1">IFERROR(__xludf.DUMMYFUNCTION("IMPORTRANGE(""https://docs.google.com/spreadsheets/d/12pGRKgvn2b31Uz_fjAl3XPzZUM_F2_O-zAHL2XHEPZg/edit?usp=sharing"",""รวมเหนือ!J431"")+IMPORTRANGE(""https://docs.google.com/spreadsheets/d/1c0UfJUA6nE6esVMy0kRcX_PENtt96DMxicQpqi3tips/edit?usp=sharing"","""&amp;"รวมตะวันออกเฉียงเหนือ!J431"")+IMPORTRANGE(""https://docs.google.com/spreadsheets/d/1iNWbYmj0agxPDl_yJgGu1eIremFPVMUuMWUKAjBzvrk/edit?usp=sharing"",""รวมกลาง!J431"")+IMPORTRANGE(""https://docs.google.com/spreadsheets/d/1uenpWDAH2bchvfvsSIjpd4bRU5D1faxJOaE3"&amp;"4GQM5-c/edit?usp=sharing"",""รวมใต้!J431"")"),15424.3)</f>
        <v>15424.3</v>
      </c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</row>
    <row r="430" spans="1:21" ht="19.5" x14ac:dyDescent="0.3">
      <c r="A430" s="213"/>
      <c r="B430" s="170"/>
      <c r="C430" s="351" t="s">
        <v>172</v>
      </c>
      <c r="D430" s="170"/>
      <c r="E430" s="170"/>
      <c r="F430" s="170"/>
      <c r="G430" s="186"/>
      <c r="H430" s="145" t="s">
        <v>46</v>
      </c>
      <c r="I430" s="161">
        <f ca="1">IFERROR(__xludf.DUMMYFUNCTION("IMPORTRANGE(""https://docs.google.com/spreadsheets/d/12pGRKgvn2b31Uz_fjAl3XPzZUM_F2_O-zAHL2XHEPZg/edit?usp=sharing"",""รวมเหนือ!I432"")+IMPORTRANGE(""https://docs.google.com/spreadsheets/d/1c0UfJUA6nE6esVMy0kRcX_PENtt96DMxicQpqi3tips/edit?usp=sharing"","""&amp;"รวมตะวันออกเฉียงเหนือ!I432"")+IMPORTRANGE(""https://docs.google.com/spreadsheets/d/1iNWbYmj0agxPDl_yJgGu1eIremFPVMUuMWUKAjBzvrk/edit?usp=sharing"",""รวมกลาง!I432"")+IMPORTRANGE(""https://docs.google.com/spreadsheets/d/1uenpWDAH2bchvfvsSIjpd4bRU5D1faxJOaE3"&amp;"4GQM5-c/edit?usp=sharing"",""รวมใต้!I432"")"),2512907)</f>
        <v>2512907</v>
      </c>
      <c r="J430" s="161">
        <f t="shared" ref="J430:J431" ca="1" si="308">J432+J434+J436</f>
        <v>2513080.5814999999</v>
      </c>
      <c r="K430" s="146">
        <f t="shared" ref="K430:K431" ca="1" si="309">IF(I430&gt;0,J430*100/I430,0)</f>
        <v>100.00690759745585</v>
      </c>
      <c r="L430" s="41"/>
      <c r="M430" s="41"/>
      <c r="N430" s="41"/>
      <c r="O430" s="41"/>
      <c r="P430" s="41"/>
      <c r="Q430" s="41"/>
      <c r="R430" s="41"/>
      <c r="S430" s="41"/>
      <c r="T430" s="41"/>
      <c r="U430" s="41"/>
    </row>
    <row r="431" spans="1:21" ht="19.5" x14ac:dyDescent="0.3">
      <c r="A431" s="213"/>
      <c r="B431" s="170"/>
      <c r="C431" s="170"/>
      <c r="D431" s="170"/>
      <c r="E431" s="170"/>
      <c r="F431" s="170"/>
      <c r="G431" s="186"/>
      <c r="H431" s="145" t="s">
        <v>34</v>
      </c>
      <c r="I431" s="161">
        <f ca="1">IFERROR(__xludf.DUMMYFUNCTION("IMPORTRANGE(""https://docs.google.com/spreadsheets/d/12pGRKgvn2b31Uz_fjAl3XPzZUM_F2_O-zAHL2XHEPZg/edit?usp=sharing"",""รวมเหนือ!I433"")+IMPORTRANGE(""https://docs.google.com/spreadsheets/d/1c0UfJUA6nE6esVMy0kRcX_PENtt96DMxicQpqi3tips/edit?usp=sharing"","""&amp;"รวมตะวันออกเฉียงเหนือ!I433"")+IMPORTRANGE(""https://docs.google.com/spreadsheets/d/1iNWbYmj0agxPDl_yJgGu1eIremFPVMUuMWUKAjBzvrk/edit?usp=sharing"",""รวมกลาง!I433"")+IMPORTRANGE(""https://docs.google.com/spreadsheets/d/1uenpWDAH2bchvfvsSIjpd4bRU5D1faxJOaE3"&amp;"4GQM5-c/edit?usp=sharing"",""รวมใต้!I433"")"),273026)</f>
        <v>273026</v>
      </c>
      <c r="J431" s="161">
        <f t="shared" ca="1" si="308"/>
        <v>273043</v>
      </c>
      <c r="K431" s="146">
        <f t="shared" ca="1" si="309"/>
        <v>100.00622651322584</v>
      </c>
      <c r="L431" s="41"/>
      <c r="M431" s="41"/>
      <c r="N431" s="41"/>
      <c r="O431" s="41"/>
      <c r="P431" s="41"/>
      <c r="Q431" s="41"/>
      <c r="R431" s="41"/>
      <c r="S431" s="41"/>
      <c r="T431" s="41"/>
      <c r="U431" s="41"/>
    </row>
    <row r="432" spans="1:21" ht="18.75" x14ac:dyDescent="0.25">
      <c r="A432" s="213"/>
      <c r="B432" s="170"/>
      <c r="C432" s="170"/>
      <c r="D432" s="214" t="s">
        <v>173</v>
      </c>
      <c r="E432" s="170"/>
      <c r="F432" s="170"/>
      <c r="G432" s="186"/>
      <c r="H432" s="147" t="s">
        <v>46</v>
      </c>
      <c r="I432" s="40"/>
      <c r="J432" s="176">
        <f ca="1">IFERROR(__xludf.DUMMYFUNCTION("IMPORTRANGE(""https://docs.google.com/spreadsheets/d/12pGRKgvn2b31Uz_fjAl3XPzZUM_F2_O-zAHL2XHEPZg/edit?usp=sharing"",""รวมเหนือ!J434"")+IMPORTRANGE(""https://docs.google.com/spreadsheets/d/1c0UfJUA6nE6esVMy0kRcX_PENtt96DMxicQpqi3tips/edit?usp=sharing"","""&amp;"รวมตะวันออกเฉียงเหนือ!J434"")+IMPORTRANGE(""https://docs.google.com/spreadsheets/d/1iNWbYmj0agxPDl_yJgGu1eIremFPVMUuMWUKAjBzvrk/edit?usp=sharing"",""รวมกลาง!J434"")+IMPORTRANGE(""https://docs.google.com/spreadsheets/d/1uenpWDAH2bchvfvsSIjpd4bRU5D1faxJOaE3"&amp;"4GQM5-c/edit?usp=sharing"",""รวมใต้!J434"")"),1955699.376)</f>
        <v>1955699.3759999999</v>
      </c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</row>
    <row r="433" spans="1:21" ht="18.75" x14ac:dyDescent="0.25">
      <c r="A433" s="213"/>
      <c r="B433" s="170"/>
      <c r="C433" s="170"/>
      <c r="D433" s="170"/>
      <c r="E433" s="170"/>
      <c r="F433" s="170"/>
      <c r="G433" s="186"/>
      <c r="H433" s="147" t="s">
        <v>34</v>
      </c>
      <c r="I433" s="40"/>
      <c r="J433" s="176">
        <f ca="1">IFERROR(__xludf.DUMMYFUNCTION("IMPORTRANGE(""https://docs.google.com/spreadsheets/d/12pGRKgvn2b31Uz_fjAl3XPzZUM_F2_O-zAHL2XHEPZg/edit?usp=sharing"",""รวมเหนือ!J435"")+IMPORTRANGE(""https://docs.google.com/spreadsheets/d/1c0UfJUA6nE6esVMy0kRcX_PENtt96DMxicQpqi3tips/edit?usp=sharing"","""&amp;"รวมตะวันออกเฉียงเหนือ!J435"")+IMPORTRANGE(""https://docs.google.com/spreadsheets/d/1iNWbYmj0agxPDl_yJgGu1eIremFPVMUuMWUKAjBzvrk/edit?usp=sharing"",""รวมกลาง!J435"")+IMPORTRANGE(""https://docs.google.com/spreadsheets/d/1uenpWDAH2bchvfvsSIjpd4bRU5D1faxJOaE3"&amp;"4GQM5-c/edit?usp=sharing"",""รวมใต้!J435"")"),220815)</f>
        <v>220815</v>
      </c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</row>
    <row r="434" spans="1:21" ht="18.75" x14ac:dyDescent="0.25">
      <c r="A434" s="213"/>
      <c r="B434" s="170"/>
      <c r="C434" s="170"/>
      <c r="D434" s="214" t="s">
        <v>174</v>
      </c>
      <c r="E434" s="170"/>
      <c r="F434" s="170"/>
      <c r="G434" s="186"/>
      <c r="H434" s="147" t="s">
        <v>46</v>
      </c>
      <c r="I434" s="40"/>
      <c r="J434" s="176">
        <f ca="1">IFERROR(__xludf.DUMMYFUNCTION("IMPORTRANGE(""https://docs.google.com/spreadsheets/d/12pGRKgvn2b31Uz_fjAl3XPzZUM_F2_O-zAHL2XHEPZg/edit?usp=sharing"",""รวมเหนือ!J436"")+IMPORTRANGE(""https://docs.google.com/spreadsheets/d/1c0UfJUA6nE6esVMy0kRcX_PENtt96DMxicQpqi3tips/edit?usp=sharing"","""&amp;"รวมตะวันออกเฉียงเหนือ!J436"")+IMPORTRANGE(""https://docs.google.com/spreadsheets/d/1iNWbYmj0agxPDl_yJgGu1eIremFPVMUuMWUKAjBzvrk/edit?usp=sharing"",""รวมกลาง!J436"")+IMPORTRANGE(""https://docs.google.com/spreadsheets/d/1uenpWDAH2bchvfvsSIjpd4bRU5D1faxJOaE3"&amp;"4GQM5-c/edit?usp=sharing"",""รวมใต้!J436"")"),425691.0405)</f>
        <v>425691.0405</v>
      </c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</row>
    <row r="435" spans="1:21" ht="18.75" x14ac:dyDescent="0.25">
      <c r="A435" s="213"/>
      <c r="B435" s="170"/>
      <c r="C435" s="170"/>
      <c r="D435" s="170"/>
      <c r="E435" s="170"/>
      <c r="F435" s="170"/>
      <c r="G435" s="186"/>
      <c r="H435" s="147" t="s">
        <v>34</v>
      </c>
      <c r="I435" s="40"/>
      <c r="J435" s="176">
        <f ca="1">IFERROR(__xludf.DUMMYFUNCTION("IMPORTRANGE(""https://docs.google.com/spreadsheets/d/12pGRKgvn2b31Uz_fjAl3XPzZUM_F2_O-zAHL2XHEPZg/edit?usp=sharing"",""รวมเหนือ!J437"")+IMPORTRANGE(""https://docs.google.com/spreadsheets/d/1c0UfJUA6nE6esVMy0kRcX_PENtt96DMxicQpqi3tips/edit?usp=sharing"","""&amp;"รวมตะวันออกเฉียงเหนือ!J437"")+IMPORTRANGE(""https://docs.google.com/spreadsheets/d/1iNWbYmj0agxPDl_yJgGu1eIremFPVMUuMWUKAjBzvrk/edit?usp=sharing"",""รวมกลาง!J437"")+IMPORTRANGE(""https://docs.google.com/spreadsheets/d/1uenpWDAH2bchvfvsSIjpd4bRU5D1faxJOaE3"&amp;"4GQM5-c/edit?usp=sharing"",""รวมใต้!J437"")"),38542)</f>
        <v>38542</v>
      </c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</row>
    <row r="436" spans="1:21" ht="18.75" x14ac:dyDescent="0.25">
      <c r="A436" s="213"/>
      <c r="B436" s="170"/>
      <c r="C436" s="170"/>
      <c r="D436" s="214" t="s">
        <v>175</v>
      </c>
      <c r="E436" s="170"/>
      <c r="F436" s="170"/>
      <c r="G436" s="186"/>
      <c r="H436" s="147" t="s">
        <v>46</v>
      </c>
      <c r="I436" s="40"/>
      <c r="J436" s="176">
        <f ca="1">IFERROR(__xludf.DUMMYFUNCTION("IMPORTRANGE(""https://docs.google.com/spreadsheets/d/12pGRKgvn2b31Uz_fjAl3XPzZUM_F2_O-zAHL2XHEPZg/edit?usp=sharing"",""รวมเหนือ!J438"")+IMPORTRANGE(""https://docs.google.com/spreadsheets/d/1c0UfJUA6nE6esVMy0kRcX_PENtt96DMxicQpqi3tips/edit?usp=sharing"","""&amp;"รวมตะวันออกเฉียงเหนือ!J438"")+IMPORTRANGE(""https://docs.google.com/spreadsheets/d/1iNWbYmj0agxPDl_yJgGu1eIremFPVMUuMWUKAjBzvrk/edit?usp=sharing"",""รวมกลาง!J438"")+IMPORTRANGE(""https://docs.google.com/spreadsheets/d/1uenpWDAH2bchvfvsSIjpd4bRU5D1faxJOaE3"&amp;"4GQM5-c/edit?usp=sharing"",""รวมใต้!J438"")"),131690.165)</f>
        <v>131690.16500000001</v>
      </c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</row>
    <row r="437" spans="1:21" ht="18.75" x14ac:dyDescent="0.25">
      <c r="A437" s="213"/>
      <c r="B437" s="170"/>
      <c r="C437" s="170"/>
      <c r="D437" s="170"/>
      <c r="E437" s="170"/>
      <c r="F437" s="170"/>
      <c r="G437" s="186"/>
      <c r="H437" s="147" t="s">
        <v>34</v>
      </c>
      <c r="I437" s="40"/>
      <c r="J437" s="176">
        <f ca="1">IFERROR(__xludf.DUMMYFUNCTION("IMPORTRANGE(""https://docs.google.com/spreadsheets/d/12pGRKgvn2b31Uz_fjAl3XPzZUM_F2_O-zAHL2XHEPZg/edit?usp=sharing"",""รวมเหนือ!J439"")+IMPORTRANGE(""https://docs.google.com/spreadsheets/d/1c0UfJUA6nE6esVMy0kRcX_PENtt96DMxicQpqi3tips/edit?usp=sharing"","""&amp;"รวมตะวันออกเฉียงเหนือ!J439"")+IMPORTRANGE(""https://docs.google.com/spreadsheets/d/1iNWbYmj0agxPDl_yJgGu1eIremFPVMUuMWUKAjBzvrk/edit?usp=sharing"",""รวมกลาง!J439"")+IMPORTRANGE(""https://docs.google.com/spreadsheets/d/1uenpWDAH2bchvfvsSIjpd4bRU5D1faxJOaE3"&amp;"4GQM5-c/edit?usp=sharing"",""รวมใต้!J439"")"),13686)</f>
        <v>13686</v>
      </c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</row>
    <row r="438" spans="1:21" ht="19.5" x14ac:dyDescent="0.3">
      <c r="A438" s="213"/>
      <c r="B438" s="170"/>
      <c r="C438" s="351" t="s">
        <v>176</v>
      </c>
      <c r="D438" s="170"/>
      <c r="E438" s="170"/>
      <c r="F438" s="170"/>
      <c r="G438" s="186"/>
      <c r="H438" s="145" t="s">
        <v>46</v>
      </c>
      <c r="I438" s="161">
        <f ca="1">IFERROR(__xludf.DUMMYFUNCTION("IMPORTRANGE(""https://docs.google.com/spreadsheets/d/12pGRKgvn2b31Uz_fjAl3XPzZUM_F2_O-zAHL2XHEPZg/edit?usp=sharing"",""รวมเหนือ!I440"")+IMPORTRANGE(""https://docs.google.com/spreadsheets/d/1c0UfJUA6nE6esVMy0kRcX_PENtt96DMxicQpqi3tips/edit?usp=sharing"","""&amp;"รวมตะวันออกเฉียงเหนือ!I440"")+IMPORTRANGE(""https://docs.google.com/spreadsheets/d/1iNWbYmj0agxPDl_yJgGu1eIremFPVMUuMWUKAjBzvrk/edit?usp=sharing"",""รวมกลาง!I440"")+IMPORTRANGE(""https://docs.google.com/spreadsheets/d/1uenpWDAH2bchvfvsSIjpd4bRU5D1faxJOaE3"&amp;"4GQM5-c/edit?usp=sharing"",""รวมใต้!I440"")"),2512907)</f>
        <v>2512907</v>
      </c>
      <c r="J438" s="161">
        <f t="shared" ref="J438:J439" ca="1" si="310">J440+J442+J444+J450+J452</f>
        <v>1748930.0315</v>
      </c>
      <c r="K438" s="146">
        <f t="shared" ref="K438:K439" ca="1" si="311">IF(I438&gt;0,J438*100/I438,0)</f>
        <v>69.597881318329726</v>
      </c>
      <c r="L438" s="41"/>
      <c r="M438" s="41"/>
      <c r="N438" s="41"/>
      <c r="O438" s="41"/>
      <c r="P438" s="41"/>
      <c r="Q438" s="41"/>
      <c r="R438" s="41"/>
      <c r="S438" s="41"/>
      <c r="T438" s="41"/>
      <c r="U438" s="41"/>
    </row>
    <row r="439" spans="1:21" ht="19.5" x14ac:dyDescent="0.3">
      <c r="A439" s="213"/>
      <c r="B439" s="170"/>
      <c r="C439" s="170"/>
      <c r="D439" s="170"/>
      <c r="E439" s="170"/>
      <c r="F439" s="170"/>
      <c r="G439" s="186"/>
      <c r="H439" s="145" t="s">
        <v>34</v>
      </c>
      <c r="I439" s="161">
        <f ca="1">IFERROR(__xludf.DUMMYFUNCTION("IMPORTRANGE(""https://docs.google.com/spreadsheets/d/12pGRKgvn2b31Uz_fjAl3XPzZUM_F2_O-zAHL2XHEPZg/edit?usp=sharing"",""รวมเหนือ!I441"")+IMPORTRANGE(""https://docs.google.com/spreadsheets/d/1c0UfJUA6nE6esVMy0kRcX_PENtt96DMxicQpqi3tips/edit?usp=sharing"","""&amp;"รวมตะวันออกเฉียงเหนือ!I441"")+IMPORTRANGE(""https://docs.google.com/spreadsheets/d/1iNWbYmj0agxPDl_yJgGu1eIremFPVMUuMWUKAjBzvrk/edit?usp=sharing"",""รวมกลาง!I441"")+IMPORTRANGE(""https://docs.google.com/spreadsheets/d/1uenpWDAH2bchvfvsSIjpd4bRU5D1faxJOaE3"&amp;"4GQM5-c/edit?usp=sharing"",""รวมใต้!I441"")"),273026)</f>
        <v>273026</v>
      </c>
      <c r="J439" s="161">
        <f t="shared" ca="1" si="310"/>
        <v>195845</v>
      </c>
      <c r="K439" s="146">
        <f t="shared" ca="1" si="311"/>
        <v>71.731263689172465</v>
      </c>
      <c r="L439" s="41"/>
      <c r="M439" s="41"/>
      <c r="N439" s="41"/>
      <c r="O439" s="41"/>
      <c r="P439" s="41"/>
      <c r="Q439" s="41"/>
      <c r="R439" s="41"/>
      <c r="S439" s="41"/>
      <c r="T439" s="41"/>
      <c r="U439" s="41"/>
    </row>
    <row r="440" spans="1:21" ht="18.75" x14ac:dyDescent="0.25">
      <c r="A440" s="213"/>
      <c r="B440" s="170"/>
      <c r="C440" s="170"/>
      <c r="D440" s="214" t="s">
        <v>177</v>
      </c>
      <c r="E440" s="170"/>
      <c r="F440" s="170"/>
      <c r="G440" s="186"/>
      <c r="H440" s="147" t="s">
        <v>46</v>
      </c>
      <c r="I440" s="40"/>
      <c r="J440" s="176">
        <f ca="1">IFERROR(__xludf.DUMMYFUNCTION("IMPORTRANGE(""https://docs.google.com/spreadsheets/d/12pGRKgvn2b31Uz_fjAl3XPzZUM_F2_O-zAHL2XHEPZg/edit?usp=sharing"",""รวมเหนือ!J442"")+IMPORTRANGE(""https://docs.google.com/spreadsheets/d/1c0UfJUA6nE6esVMy0kRcX_PENtt96DMxicQpqi3tips/edit?usp=sharing"","""&amp;"รวมตะวันออกเฉียงเหนือ!J442"")+IMPORTRANGE(""https://docs.google.com/spreadsheets/d/1iNWbYmj0agxPDl_yJgGu1eIremFPVMUuMWUKAjBzvrk/edit?usp=sharing"",""รวมกลาง!J442"")+IMPORTRANGE(""https://docs.google.com/spreadsheets/d/1uenpWDAH2bchvfvsSIjpd4bRU5D1faxJOaE3"&amp;"4GQM5-c/edit?usp=sharing"",""รวมใต้!J442"")"),1401141.3285)</f>
        <v>1401141.3285000001</v>
      </c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</row>
    <row r="441" spans="1:21" ht="18.75" x14ac:dyDescent="0.25">
      <c r="A441" s="213"/>
      <c r="B441" s="170"/>
      <c r="C441" s="170"/>
      <c r="D441" s="170"/>
      <c r="E441" s="170"/>
      <c r="F441" s="170"/>
      <c r="G441" s="186"/>
      <c r="H441" s="147" t="s">
        <v>34</v>
      </c>
      <c r="I441" s="40"/>
      <c r="J441" s="176">
        <f ca="1">IFERROR(__xludf.DUMMYFUNCTION("IMPORTRANGE(""https://docs.google.com/spreadsheets/d/12pGRKgvn2b31Uz_fjAl3XPzZUM_F2_O-zAHL2XHEPZg/edit?usp=sharing"",""รวมเหนือ!J443"")+IMPORTRANGE(""https://docs.google.com/spreadsheets/d/1c0UfJUA6nE6esVMy0kRcX_PENtt96DMxicQpqi3tips/edit?usp=sharing"","""&amp;"รวมตะวันออกเฉียงเหนือ!J443"")+IMPORTRANGE(""https://docs.google.com/spreadsheets/d/1iNWbYmj0agxPDl_yJgGu1eIremFPVMUuMWUKAjBzvrk/edit?usp=sharing"",""รวมกลาง!J443"")+IMPORTRANGE(""https://docs.google.com/spreadsheets/d/1uenpWDAH2bchvfvsSIjpd4bRU5D1faxJOaE3"&amp;"4GQM5-c/edit?usp=sharing"",""รวมใต้!J443"")"),162208)</f>
        <v>162208</v>
      </c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</row>
    <row r="442" spans="1:21" ht="18.75" x14ac:dyDescent="0.25">
      <c r="A442" s="213"/>
      <c r="B442" s="170"/>
      <c r="C442" s="170"/>
      <c r="D442" s="214" t="s">
        <v>178</v>
      </c>
      <c r="E442" s="170"/>
      <c r="F442" s="170"/>
      <c r="G442" s="186"/>
      <c r="H442" s="147" t="s">
        <v>46</v>
      </c>
      <c r="I442" s="40"/>
      <c r="J442" s="176">
        <f ca="1">IFERROR(__xludf.DUMMYFUNCTION("IMPORTRANGE(""https://docs.google.com/spreadsheets/d/12pGRKgvn2b31Uz_fjAl3XPzZUM_F2_O-zAHL2XHEPZg/edit?usp=sharing"",""รวมเหนือ!J444"")+IMPORTRANGE(""https://docs.google.com/spreadsheets/d/1c0UfJUA6nE6esVMy0kRcX_PENtt96DMxicQpqi3tips/edit?usp=sharing"","""&amp;"รวมตะวันออกเฉียงเหนือ!J444"")+IMPORTRANGE(""https://docs.google.com/spreadsheets/d/1iNWbYmj0agxPDl_yJgGu1eIremFPVMUuMWUKAjBzvrk/edit?usp=sharing"",""รวมกลาง!J444"")+IMPORTRANGE(""https://docs.google.com/spreadsheets/d/1uenpWDAH2bchvfvsSIjpd4bRU5D1faxJOaE3"&amp;"4GQM5-c/edit?usp=sharing"",""รวมใต้!J444"")"),214397.7405)</f>
        <v>214397.74050000001</v>
      </c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</row>
    <row r="443" spans="1:21" ht="18.75" x14ac:dyDescent="0.25">
      <c r="A443" s="213"/>
      <c r="B443" s="170"/>
      <c r="C443" s="170"/>
      <c r="D443" s="170"/>
      <c r="E443" s="170"/>
      <c r="F443" s="170"/>
      <c r="G443" s="186"/>
      <c r="H443" s="147" t="s">
        <v>34</v>
      </c>
      <c r="I443" s="40"/>
      <c r="J443" s="176">
        <f ca="1">IFERROR(__xludf.DUMMYFUNCTION("IMPORTRANGE(""https://docs.google.com/spreadsheets/d/12pGRKgvn2b31Uz_fjAl3XPzZUM_F2_O-zAHL2XHEPZg/edit?usp=sharing"",""รวมเหนือ!J445"")+IMPORTRANGE(""https://docs.google.com/spreadsheets/d/1c0UfJUA6nE6esVMy0kRcX_PENtt96DMxicQpqi3tips/edit?usp=sharing"","""&amp;"รวมตะวันออกเฉียงเหนือ!J445"")+IMPORTRANGE(""https://docs.google.com/spreadsheets/d/1iNWbYmj0agxPDl_yJgGu1eIremFPVMUuMWUKAjBzvrk/edit?usp=sharing"",""รวมกลาง!J445"")+IMPORTRANGE(""https://docs.google.com/spreadsheets/d/1uenpWDAH2bchvfvsSIjpd4bRU5D1faxJOaE3"&amp;"4GQM5-c/edit?usp=sharing"",""รวมใต้!J445"")"),18756)</f>
        <v>18756</v>
      </c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</row>
    <row r="444" spans="1:21" ht="19.5" x14ac:dyDescent="0.3">
      <c r="A444" s="213"/>
      <c r="B444" s="170"/>
      <c r="C444" s="170"/>
      <c r="D444" s="214" t="s">
        <v>179</v>
      </c>
      <c r="E444" s="170"/>
      <c r="F444" s="170"/>
      <c r="G444" s="186"/>
      <c r="H444" s="147" t="s">
        <v>46</v>
      </c>
      <c r="I444" s="40"/>
      <c r="J444" s="161">
        <f t="shared" ref="J444:J445" ca="1" si="312">J446+J448</f>
        <v>98968.232499999998</v>
      </c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</row>
    <row r="445" spans="1:21" ht="19.5" x14ac:dyDescent="0.3">
      <c r="A445" s="213"/>
      <c r="B445" s="170"/>
      <c r="C445" s="170"/>
      <c r="D445" s="170"/>
      <c r="E445" s="170"/>
      <c r="F445" s="170"/>
      <c r="G445" s="186"/>
      <c r="H445" s="147" t="s">
        <v>34</v>
      </c>
      <c r="I445" s="40"/>
      <c r="J445" s="161">
        <f t="shared" ca="1" si="312"/>
        <v>10853</v>
      </c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</row>
    <row r="446" spans="1:21" ht="18.75" x14ac:dyDescent="0.25">
      <c r="A446" s="213"/>
      <c r="B446" s="170"/>
      <c r="C446" s="170"/>
      <c r="D446" s="170"/>
      <c r="E446" s="214" t="s">
        <v>180</v>
      </c>
      <c r="F446" s="170"/>
      <c r="G446" s="186"/>
      <c r="H446" s="147" t="s">
        <v>46</v>
      </c>
      <c r="I446" s="40"/>
      <c r="J446" s="176">
        <f ca="1">IFERROR(__xludf.DUMMYFUNCTION("IMPORTRANGE(""https://docs.google.com/spreadsheets/d/12pGRKgvn2b31Uz_fjAl3XPzZUM_F2_O-zAHL2XHEPZg/edit?usp=sharing"",""รวมเหนือ!J448"")+IMPORTRANGE(""https://docs.google.com/spreadsheets/d/1c0UfJUA6nE6esVMy0kRcX_PENtt96DMxicQpqi3tips/edit?usp=sharing"","""&amp;"รวมตะวันออกเฉียงเหนือ!J448"")+IMPORTRANGE(""https://docs.google.com/spreadsheets/d/1iNWbYmj0agxPDl_yJgGu1eIremFPVMUuMWUKAjBzvrk/edit?usp=sharing"",""รวมกลาง!J448"")+IMPORTRANGE(""https://docs.google.com/spreadsheets/d/1uenpWDAH2bchvfvsSIjpd4bRU5D1faxJOaE3"&amp;"4GQM5-c/edit?usp=sharing"",""รวมใต้!J448"")"),94375.533)</f>
        <v>94375.532999999996</v>
      </c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</row>
    <row r="447" spans="1:21" ht="18.75" x14ac:dyDescent="0.25">
      <c r="A447" s="213"/>
      <c r="B447" s="170"/>
      <c r="C447" s="170"/>
      <c r="D447" s="170"/>
      <c r="E447" s="170"/>
      <c r="F447" s="170"/>
      <c r="G447" s="186"/>
      <c r="H447" s="147" t="s">
        <v>34</v>
      </c>
      <c r="I447" s="40"/>
      <c r="J447" s="176">
        <f ca="1">IFERROR(__xludf.DUMMYFUNCTION("IMPORTRANGE(""https://docs.google.com/spreadsheets/d/12pGRKgvn2b31Uz_fjAl3XPzZUM_F2_O-zAHL2XHEPZg/edit?usp=sharing"",""รวมเหนือ!J449"")+IMPORTRANGE(""https://docs.google.com/spreadsheets/d/1c0UfJUA6nE6esVMy0kRcX_PENtt96DMxicQpqi3tips/edit?usp=sharing"","""&amp;"รวมตะวันออกเฉียงเหนือ!J449"")+IMPORTRANGE(""https://docs.google.com/spreadsheets/d/1iNWbYmj0agxPDl_yJgGu1eIremFPVMUuMWUKAjBzvrk/edit?usp=sharing"",""รวมกลาง!J449"")+IMPORTRANGE(""https://docs.google.com/spreadsheets/d/1uenpWDAH2bchvfvsSIjpd4bRU5D1faxJOaE3"&amp;"4GQM5-c/edit?usp=sharing"",""รวมใต้!J449"")"),10405)</f>
        <v>10405</v>
      </c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</row>
    <row r="448" spans="1:21" ht="18.75" x14ac:dyDescent="0.25">
      <c r="A448" s="213"/>
      <c r="B448" s="170"/>
      <c r="C448" s="170"/>
      <c r="D448" s="170"/>
      <c r="E448" s="214" t="s">
        <v>181</v>
      </c>
      <c r="F448" s="170"/>
      <c r="G448" s="186"/>
      <c r="H448" s="147" t="s">
        <v>46</v>
      </c>
      <c r="I448" s="40"/>
      <c r="J448" s="176">
        <f ca="1">IFERROR(__xludf.DUMMYFUNCTION("IMPORTRANGE(""https://docs.google.com/spreadsheets/d/12pGRKgvn2b31Uz_fjAl3XPzZUM_F2_O-zAHL2XHEPZg/edit?usp=sharing"",""รวมเหนือ!J450"")+IMPORTRANGE(""https://docs.google.com/spreadsheets/d/1c0UfJUA6nE6esVMy0kRcX_PENtt96DMxicQpqi3tips/edit?usp=sharing"","""&amp;"รวมตะวันออกเฉียงเหนือ!J450"")+IMPORTRANGE(""https://docs.google.com/spreadsheets/d/1iNWbYmj0agxPDl_yJgGu1eIremFPVMUuMWUKAjBzvrk/edit?usp=sharing"",""รวมกลาง!J450"")+IMPORTRANGE(""https://docs.google.com/spreadsheets/d/1uenpWDAH2bchvfvsSIjpd4bRU5D1faxJOaE3"&amp;"4GQM5-c/edit?usp=sharing"",""รวมใต้!J450"")"),4592.6995)</f>
        <v>4592.6994999999997</v>
      </c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</row>
    <row r="449" spans="1:21" ht="18.75" x14ac:dyDescent="0.25">
      <c r="A449" s="213"/>
      <c r="B449" s="170"/>
      <c r="C449" s="170"/>
      <c r="D449" s="170"/>
      <c r="E449" s="170"/>
      <c r="F449" s="170"/>
      <c r="G449" s="186"/>
      <c r="H449" s="147" t="s">
        <v>34</v>
      </c>
      <c r="I449" s="40"/>
      <c r="J449" s="176">
        <f ca="1">IFERROR(__xludf.DUMMYFUNCTION("IMPORTRANGE(""https://docs.google.com/spreadsheets/d/12pGRKgvn2b31Uz_fjAl3XPzZUM_F2_O-zAHL2XHEPZg/edit?usp=sharing"",""รวมเหนือ!J451"")+IMPORTRANGE(""https://docs.google.com/spreadsheets/d/1c0UfJUA6nE6esVMy0kRcX_PENtt96DMxicQpqi3tips/edit?usp=sharing"","""&amp;"รวมตะวันออกเฉียงเหนือ!J451"")+IMPORTRANGE(""https://docs.google.com/spreadsheets/d/1iNWbYmj0agxPDl_yJgGu1eIremFPVMUuMWUKAjBzvrk/edit?usp=sharing"",""รวมกลาง!J451"")+IMPORTRANGE(""https://docs.google.com/spreadsheets/d/1uenpWDAH2bchvfvsSIjpd4bRU5D1faxJOaE3"&amp;"4GQM5-c/edit?usp=sharing"",""รวมใต้!J451"")"),448)</f>
        <v>448</v>
      </c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</row>
    <row r="450" spans="1:21" ht="18.75" x14ac:dyDescent="0.25">
      <c r="A450" s="213"/>
      <c r="B450" s="170"/>
      <c r="C450" s="170"/>
      <c r="D450" s="214" t="s">
        <v>182</v>
      </c>
      <c r="E450" s="170"/>
      <c r="F450" s="170"/>
      <c r="G450" s="186"/>
      <c r="H450" s="147" t="s">
        <v>46</v>
      </c>
      <c r="I450" s="40"/>
      <c r="J450" s="176">
        <f ca="1">IFERROR(__xludf.DUMMYFUNCTION("IMPORTRANGE(""https://docs.google.com/spreadsheets/d/12pGRKgvn2b31Uz_fjAl3XPzZUM_F2_O-zAHL2XHEPZg/edit?usp=sharing"",""รวมเหนือ!J452"")+IMPORTRANGE(""https://docs.google.com/spreadsheets/d/1c0UfJUA6nE6esVMy0kRcX_PENtt96DMxicQpqi3tips/edit?usp=sharing"","""&amp;"รวมตะวันออกเฉียงเหนือ!J452"")+IMPORTRANGE(""https://docs.google.com/spreadsheets/d/1iNWbYmj0agxPDl_yJgGu1eIremFPVMUuMWUKAjBzvrk/edit?usp=sharing"",""รวมกลาง!J452"")+IMPORTRANGE(""https://docs.google.com/spreadsheets/d/1uenpWDAH2bchvfvsSIjpd4bRU5D1faxJOaE3"&amp;"4GQM5-c/edit?usp=sharing"",""รวมใต้!J452"")"),34422.7299999999)</f>
        <v>34422.729999999901</v>
      </c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</row>
    <row r="451" spans="1:21" ht="18.75" x14ac:dyDescent="0.25">
      <c r="A451" s="213"/>
      <c r="B451" s="170"/>
      <c r="C451" s="170"/>
      <c r="D451" s="170"/>
      <c r="E451" s="170"/>
      <c r="F451" s="170"/>
      <c r="G451" s="186"/>
      <c r="H451" s="147" t="s">
        <v>34</v>
      </c>
      <c r="I451" s="40"/>
      <c r="J451" s="176">
        <f ca="1">IFERROR(__xludf.DUMMYFUNCTION("IMPORTRANGE(""https://docs.google.com/spreadsheets/d/12pGRKgvn2b31Uz_fjAl3XPzZUM_F2_O-zAHL2XHEPZg/edit?usp=sharing"",""รวมเหนือ!J453"")+IMPORTRANGE(""https://docs.google.com/spreadsheets/d/1c0UfJUA6nE6esVMy0kRcX_PENtt96DMxicQpqi3tips/edit?usp=sharing"","""&amp;"รวมตะวันออกเฉียงเหนือ!J453"")+IMPORTRANGE(""https://docs.google.com/spreadsheets/d/1iNWbYmj0agxPDl_yJgGu1eIremFPVMUuMWUKAjBzvrk/edit?usp=sharing"",""รวมกลาง!J453"")+IMPORTRANGE(""https://docs.google.com/spreadsheets/d/1uenpWDAH2bchvfvsSIjpd4bRU5D1faxJOaE3"&amp;"4GQM5-c/edit?usp=sharing"",""รวมใต้!J453"")"),4028)</f>
        <v>4028</v>
      </c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</row>
    <row r="452" spans="1:21" ht="18.75" x14ac:dyDescent="0.25">
      <c r="A452" s="213"/>
      <c r="B452" s="170"/>
      <c r="C452" s="170"/>
      <c r="D452" s="214" t="s">
        <v>183</v>
      </c>
      <c r="E452" s="170"/>
      <c r="F452" s="170"/>
      <c r="G452" s="186"/>
      <c r="H452" s="147" t="s">
        <v>46</v>
      </c>
      <c r="I452" s="40"/>
      <c r="J452" s="352">
        <f ca="1">IFERROR(__xludf.DUMMYFUNCTION("IMPORTRANGE(""https://docs.google.com/spreadsheets/d/12pGRKgvn2b31Uz_fjAl3XPzZUM_F2_O-zAHL2XHEPZg/edit?usp=sharing"",""รวมเหนือ!J454"")+IMPORTRANGE(""https://docs.google.com/spreadsheets/d/1c0UfJUA6nE6esVMy0kRcX_PENtt96DMxicQpqi3tips/edit?usp=sharing"","""&amp;"รวมตะวันออกเฉียงเหนือ!J454"")+IMPORTRANGE(""https://docs.google.com/spreadsheets/d/1iNWbYmj0agxPDl_yJgGu1eIremFPVMUuMWUKAjBzvrk/edit?usp=sharing"",""รวมกลาง!J454"")+IMPORTRANGE(""https://docs.google.com/spreadsheets/d/1uenpWDAH2bchvfvsSIjpd4bRU5D1faxJOaE3"&amp;"4GQM5-c/edit?usp=sharing"",""รวมใต้!J454"")"),0)</f>
        <v>0</v>
      </c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</row>
    <row r="453" spans="1:21" ht="18.75" x14ac:dyDescent="0.25">
      <c r="A453" s="213"/>
      <c r="B453" s="170"/>
      <c r="C453" s="170"/>
      <c r="D453" s="170"/>
      <c r="E453" s="170"/>
      <c r="F453" s="170"/>
      <c r="G453" s="186"/>
      <c r="H453" s="147" t="s">
        <v>34</v>
      </c>
      <c r="I453" s="40"/>
      <c r="J453" s="176">
        <f ca="1">IFERROR(__xludf.DUMMYFUNCTION("IMPORTRANGE(""https://docs.google.com/spreadsheets/d/12pGRKgvn2b31Uz_fjAl3XPzZUM_F2_O-zAHL2XHEPZg/edit?usp=sharing"",""รวมเหนือ!J455"")+IMPORTRANGE(""https://docs.google.com/spreadsheets/d/1c0UfJUA6nE6esVMy0kRcX_PENtt96DMxicQpqi3tips/edit?usp=sharing"","""&amp;"รวมตะวันออกเฉียงเหนือ!J455"")+IMPORTRANGE(""https://docs.google.com/spreadsheets/d/1iNWbYmj0agxPDl_yJgGu1eIremFPVMUuMWUKAjBzvrk/edit?usp=sharing"",""รวมกลาง!J455"")+IMPORTRANGE(""https://docs.google.com/spreadsheets/d/1uenpWDAH2bchvfvsSIjpd4bRU5D1faxJOaE3"&amp;"4GQM5-c/edit?usp=sharing"",""รวมใต้!J455"")"),0)</f>
        <v>0</v>
      </c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</row>
    <row r="454" spans="1:21" ht="19.5" x14ac:dyDescent="0.3">
      <c r="A454" s="344"/>
      <c r="B454" s="345" t="s">
        <v>184</v>
      </c>
      <c r="C454" s="346"/>
      <c r="D454" s="346"/>
      <c r="E454" s="346"/>
      <c r="F454" s="346"/>
      <c r="G454" s="347"/>
      <c r="H454" s="348" t="s">
        <v>46</v>
      </c>
      <c r="I454" s="349">
        <f t="shared" ref="I454:J454" ca="1" si="313">I455</f>
        <v>204244.08</v>
      </c>
      <c r="J454" s="349">
        <f t="shared" ca="1" si="313"/>
        <v>163726.36000000002</v>
      </c>
      <c r="K454" s="350">
        <f t="shared" ref="K454:K456" ca="1" si="314">IF(I454&gt;0,J454*100/I454,0)</f>
        <v>80.162108003326225</v>
      </c>
      <c r="L454" s="41"/>
      <c r="M454" s="41"/>
      <c r="N454" s="41"/>
      <c r="O454" s="41"/>
      <c r="P454" s="41"/>
      <c r="Q454" s="41"/>
      <c r="R454" s="41"/>
      <c r="S454" s="41"/>
      <c r="T454" s="41"/>
      <c r="U454" s="41"/>
    </row>
    <row r="455" spans="1:21" ht="19.5" x14ac:dyDescent="0.3">
      <c r="A455" s="213"/>
      <c r="B455" s="170"/>
      <c r="C455" s="351" t="s">
        <v>185</v>
      </c>
      <c r="D455" s="170"/>
      <c r="E455" s="170"/>
      <c r="F455" s="170"/>
      <c r="G455" s="186"/>
      <c r="H455" s="145" t="s">
        <v>46</v>
      </c>
      <c r="I455" s="161">
        <f ca="1">IFERROR(__xludf.DUMMYFUNCTION("IMPORTRANGE(""https://docs.google.com/spreadsheets/d/12pGRKgvn2b31Uz_fjAl3XPzZUM_F2_O-zAHL2XHEPZg/edit?usp=sharing"",""รวมเหนือ!I457"")+IMPORTRANGE(""https://docs.google.com/spreadsheets/d/1c0UfJUA6nE6esVMy0kRcX_PENtt96DMxicQpqi3tips/edit?usp=sharing"","""&amp;"รวมตะวันออกเฉียงเหนือ!I457"")+IMPORTRANGE(""https://docs.google.com/spreadsheets/d/1iNWbYmj0agxPDl_yJgGu1eIremFPVMUuMWUKAjBzvrk/edit?usp=sharing"",""รวมกลาง!I457"")+IMPORTRANGE(""https://docs.google.com/spreadsheets/d/1uenpWDAH2bchvfvsSIjpd4bRU5D1faxJOaE3"&amp;"4GQM5-c/edit?usp=sharing"",""รวมใต้!I457"")"),204244.08)</f>
        <v>204244.08</v>
      </c>
      <c r="J455" s="161">
        <f t="shared" ref="J455:J456" ca="1" si="315">J457+J465+J471</f>
        <v>163726.36000000002</v>
      </c>
      <c r="K455" s="146">
        <f t="shared" ca="1" si="314"/>
        <v>80.162108003326225</v>
      </c>
      <c r="L455" s="41"/>
      <c r="M455" s="41"/>
      <c r="N455" s="41"/>
      <c r="O455" s="41"/>
      <c r="P455" s="41"/>
      <c r="Q455" s="41"/>
      <c r="R455" s="41"/>
      <c r="S455" s="41"/>
      <c r="T455" s="41"/>
      <c r="U455" s="41"/>
    </row>
    <row r="456" spans="1:21" ht="19.5" x14ac:dyDescent="0.3">
      <c r="A456" s="213"/>
      <c r="B456" s="170"/>
      <c r="C456" s="170"/>
      <c r="D456" s="170"/>
      <c r="E456" s="170"/>
      <c r="F456" s="170"/>
      <c r="G456" s="186"/>
      <c r="H456" s="145" t="s">
        <v>34</v>
      </c>
      <c r="I456" s="161">
        <f ca="1">IFERROR(__xludf.DUMMYFUNCTION("IMPORTRANGE(""https://docs.google.com/spreadsheets/d/12pGRKgvn2b31Uz_fjAl3XPzZUM_F2_O-zAHL2XHEPZg/edit?usp=sharing"",""รวมเหนือ!I458"")+IMPORTRANGE(""https://docs.google.com/spreadsheets/d/1c0UfJUA6nE6esVMy0kRcX_PENtt96DMxicQpqi3tips/edit?usp=sharing"","""&amp;"รวมตะวันออกเฉียงเหนือ!I458"")+IMPORTRANGE(""https://docs.google.com/spreadsheets/d/1iNWbYmj0agxPDl_yJgGu1eIremFPVMUuMWUKAjBzvrk/edit?usp=sharing"",""รวมกลาง!I458"")+IMPORTRANGE(""https://docs.google.com/spreadsheets/d/1uenpWDAH2bchvfvsSIjpd4bRU5D1faxJOaE3"&amp;"4GQM5-c/edit?usp=sharing"",""รวมใต้!I458"")"),15990)</f>
        <v>15990</v>
      </c>
      <c r="J456" s="161">
        <f t="shared" ca="1" si="315"/>
        <v>13058</v>
      </c>
      <c r="K456" s="146">
        <f t="shared" ca="1" si="314"/>
        <v>81.663539712320201</v>
      </c>
      <c r="L456" s="41"/>
      <c r="M456" s="41"/>
      <c r="N456" s="41"/>
      <c r="O456" s="41"/>
      <c r="P456" s="41"/>
      <c r="Q456" s="41"/>
      <c r="R456" s="41"/>
      <c r="S456" s="41"/>
      <c r="T456" s="41"/>
      <c r="U456" s="41"/>
    </row>
    <row r="457" spans="1:21" ht="18.75" x14ac:dyDescent="0.25">
      <c r="A457" s="213"/>
      <c r="B457" s="170"/>
      <c r="C457" s="214" t="s">
        <v>186</v>
      </c>
      <c r="D457" s="170"/>
      <c r="E457" s="170"/>
      <c r="F457" s="170"/>
      <c r="G457" s="186"/>
      <c r="H457" s="147" t="s">
        <v>46</v>
      </c>
      <c r="I457" s="40"/>
      <c r="J457" s="176">
        <f t="shared" ref="J457:J458" ca="1" si="316">J459+J461</f>
        <v>153584.89000000001</v>
      </c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</row>
    <row r="458" spans="1:21" ht="18.75" x14ac:dyDescent="0.25">
      <c r="A458" s="213"/>
      <c r="B458" s="170"/>
      <c r="C458" s="170"/>
      <c r="D458" s="170"/>
      <c r="E458" s="170"/>
      <c r="F458" s="170"/>
      <c r="G458" s="186"/>
      <c r="H458" s="147" t="s">
        <v>34</v>
      </c>
      <c r="I458" s="40"/>
      <c r="J458" s="176">
        <f t="shared" ca="1" si="316"/>
        <v>12252</v>
      </c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</row>
    <row r="459" spans="1:21" ht="18.75" x14ac:dyDescent="0.25">
      <c r="A459" s="213"/>
      <c r="B459" s="170"/>
      <c r="C459" s="170"/>
      <c r="D459" s="353" t="s">
        <v>187</v>
      </c>
      <c r="E459" s="170"/>
      <c r="F459" s="170"/>
      <c r="G459" s="186"/>
      <c r="H459" s="147" t="s">
        <v>46</v>
      </c>
      <c r="I459" s="40"/>
      <c r="J459" s="176">
        <f ca="1">IFERROR(__xludf.DUMMYFUNCTION("IMPORTRANGE(""https://docs.google.com/spreadsheets/d/12pGRKgvn2b31Uz_fjAl3XPzZUM_F2_O-zAHL2XHEPZg/edit?usp=sharing"",""รวมเหนือ!J461"")+IMPORTRANGE(""https://docs.google.com/spreadsheets/d/1c0UfJUA6nE6esVMy0kRcX_PENtt96DMxicQpqi3tips/edit?usp=sharing"","""&amp;"รวมตะวันออกเฉียงเหนือ!J461"")+IMPORTRANGE(""https://docs.google.com/spreadsheets/d/1iNWbYmj0agxPDl_yJgGu1eIremFPVMUuMWUKAjBzvrk/edit?usp=sharing"",""รวมกลาง!J461"")+IMPORTRANGE(""https://docs.google.com/spreadsheets/d/1uenpWDAH2bchvfvsSIjpd4bRU5D1faxJOaE3"&amp;"4GQM5-c/edit?usp=sharing"",""รวมใต้!J461"")"),97488.67)</f>
        <v>97488.67</v>
      </c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</row>
    <row r="460" spans="1:21" ht="18.75" x14ac:dyDescent="0.25">
      <c r="A460" s="213"/>
      <c r="B460" s="170"/>
      <c r="C460" s="170"/>
      <c r="D460" s="170"/>
      <c r="E460" s="170"/>
      <c r="F460" s="170"/>
      <c r="G460" s="186"/>
      <c r="H460" s="147" t="s">
        <v>34</v>
      </c>
      <c r="I460" s="40"/>
      <c r="J460" s="176">
        <f ca="1">IFERROR(__xludf.DUMMYFUNCTION("IMPORTRANGE(""https://docs.google.com/spreadsheets/d/12pGRKgvn2b31Uz_fjAl3XPzZUM_F2_O-zAHL2XHEPZg/edit?usp=sharing"",""รวมเหนือ!J462"")+IMPORTRANGE(""https://docs.google.com/spreadsheets/d/1c0UfJUA6nE6esVMy0kRcX_PENtt96DMxicQpqi3tips/edit?usp=sharing"","""&amp;"รวมตะวันออกเฉียงเหนือ!J462"")+IMPORTRANGE(""https://docs.google.com/spreadsheets/d/1iNWbYmj0agxPDl_yJgGu1eIremFPVMUuMWUKAjBzvrk/edit?usp=sharing"",""รวมกลาง!J462"")+IMPORTRANGE(""https://docs.google.com/spreadsheets/d/1uenpWDAH2bchvfvsSIjpd4bRU5D1faxJOaE3"&amp;"4GQM5-c/edit?usp=sharing"",""รวมใต้!J462"")"),8594)</f>
        <v>8594</v>
      </c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</row>
    <row r="461" spans="1:21" ht="18.75" x14ac:dyDescent="0.25">
      <c r="A461" s="213"/>
      <c r="B461" s="170"/>
      <c r="C461" s="170"/>
      <c r="D461" s="353" t="s">
        <v>188</v>
      </c>
      <c r="E461" s="170"/>
      <c r="F461" s="170"/>
      <c r="G461" s="186"/>
      <c r="H461" s="147" t="s">
        <v>46</v>
      </c>
      <c r="I461" s="40"/>
      <c r="J461" s="176">
        <f ca="1">IFERROR(__xludf.DUMMYFUNCTION("IMPORTRANGE(""https://docs.google.com/spreadsheets/d/12pGRKgvn2b31Uz_fjAl3XPzZUM_F2_O-zAHL2XHEPZg/edit?usp=sharing"",""รวมเหนือ!J463"")+IMPORTRANGE(""https://docs.google.com/spreadsheets/d/1c0UfJUA6nE6esVMy0kRcX_PENtt96DMxicQpqi3tips/edit?usp=sharing"","""&amp;"รวมตะวันออกเฉียงเหนือ!J463"")+IMPORTRANGE(""https://docs.google.com/spreadsheets/d/1iNWbYmj0agxPDl_yJgGu1eIremFPVMUuMWUKAjBzvrk/edit?usp=sharing"",""รวมกลาง!J463"")+IMPORTRANGE(""https://docs.google.com/spreadsheets/d/1uenpWDAH2bchvfvsSIjpd4bRU5D1faxJOaE3"&amp;"4GQM5-c/edit?usp=sharing"",""รวมใต้!J463"")"),56096.22)</f>
        <v>56096.22</v>
      </c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</row>
    <row r="462" spans="1:21" ht="18.75" x14ac:dyDescent="0.25">
      <c r="A462" s="213"/>
      <c r="B462" s="170"/>
      <c r="C462" s="170"/>
      <c r="D462" s="170"/>
      <c r="E462" s="170"/>
      <c r="F462" s="170"/>
      <c r="G462" s="186"/>
      <c r="H462" s="147" t="s">
        <v>34</v>
      </c>
      <c r="I462" s="40"/>
      <c r="J462" s="176">
        <f ca="1">IFERROR(__xludf.DUMMYFUNCTION("IMPORTRANGE(""https://docs.google.com/spreadsheets/d/12pGRKgvn2b31Uz_fjAl3XPzZUM_F2_O-zAHL2XHEPZg/edit?usp=sharing"",""รวมเหนือ!J464"")+IMPORTRANGE(""https://docs.google.com/spreadsheets/d/1c0UfJUA6nE6esVMy0kRcX_PENtt96DMxicQpqi3tips/edit?usp=sharing"","""&amp;"รวมตะวันออกเฉียงเหนือ!J464"")+IMPORTRANGE(""https://docs.google.com/spreadsheets/d/1iNWbYmj0agxPDl_yJgGu1eIremFPVMUuMWUKAjBzvrk/edit?usp=sharing"",""รวมกลาง!J464"")+IMPORTRANGE(""https://docs.google.com/spreadsheets/d/1uenpWDAH2bchvfvsSIjpd4bRU5D1faxJOaE3"&amp;"4GQM5-c/edit?usp=sharing"",""รวมใต้!J464"")"),3658)</f>
        <v>3658</v>
      </c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</row>
    <row r="463" spans="1:21" ht="18.75" x14ac:dyDescent="0.25">
      <c r="A463" s="213"/>
      <c r="B463" s="170"/>
      <c r="C463" s="170"/>
      <c r="D463" s="353" t="s">
        <v>189</v>
      </c>
      <c r="E463" s="170"/>
      <c r="F463" s="170"/>
      <c r="G463" s="186"/>
      <c r="H463" s="147" t="s">
        <v>46</v>
      </c>
      <c r="I463" s="40"/>
      <c r="J463" s="176">
        <f ca="1">IFERROR(__xludf.DUMMYFUNCTION("IMPORTRANGE(""https://docs.google.com/spreadsheets/d/12pGRKgvn2b31Uz_fjAl3XPzZUM_F2_O-zAHL2XHEPZg/edit?usp=sharing"",""รวมเหนือ!J465"")+IMPORTRANGE(""https://docs.google.com/spreadsheets/d/1c0UfJUA6nE6esVMy0kRcX_PENtt96DMxicQpqi3tips/edit?usp=sharing"","""&amp;"รวมตะวันออกเฉียงเหนือ!J465"")+IMPORTRANGE(""https://docs.google.com/spreadsheets/d/1iNWbYmj0agxPDl_yJgGu1eIremFPVMUuMWUKAjBzvrk/edit?usp=sharing"",""รวมกลาง!J465"")+IMPORTRANGE(""https://docs.google.com/spreadsheets/d/1uenpWDAH2bchvfvsSIjpd4bRU5D1faxJOaE3"&amp;"4GQM5-c/edit?usp=sharing"",""รวมใต้!J465"")"),5660)</f>
        <v>5660</v>
      </c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</row>
    <row r="464" spans="1:21" ht="18.75" x14ac:dyDescent="0.25">
      <c r="A464" s="213"/>
      <c r="B464" s="170"/>
      <c r="C464" s="170"/>
      <c r="D464" s="170"/>
      <c r="E464" s="170"/>
      <c r="F464" s="170"/>
      <c r="G464" s="186"/>
      <c r="H464" s="147" t="s">
        <v>34</v>
      </c>
      <c r="I464" s="40"/>
      <c r="J464" s="176">
        <f ca="1">IFERROR(__xludf.DUMMYFUNCTION("IMPORTRANGE(""https://docs.google.com/spreadsheets/d/12pGRKgvn2b31Uz_fjAl3XPzZUM_F2_O-zAHL2XHEPZg/edit?usp=sharing"",""รวมเหนือ!J466"")+IMPORTRANGE(""https://docs.google.com/spreadsheets/d/1c0UfJUA6nE6esVMy0kRcX_PENtt96DMxicQpqi3tips/edit?usp=sharing"","""&amp;"รวมตะวันออกเฉียงเหนือ!J466"")+IMPORTRANGE(""https://docs.google.com/spreadsheets/d/1iNWbYmj0agxPDl_yJgGu1eIremFPVMUuMWUKAjBzvrk/edit?usp=sharing"",""รวมกลาง!J466"")+IMPORTRANGE(""https://docs.google.com/spreadsheets/d/1uenpWDAH2bchvfvsSIjpd4bRU5D1faxJOaE3"&amp;"4GQM5-c/edit?usp=sharing"",""รวมใต้!J466"")"),242)</f>
        <v>242</v>
      </c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</row>
    <row r="465" spans="1:21" ht="18.75" x14ac:dyDescent="0.25">
      <c r="A465" s="213"/>
      <c r="B465" s="170"/>
      <c r="C465" s="353" t="s">
        <v>190</v>
      </c>
      <c r="D465" s="170"/>
      <c r="E465" s="170"/>
      <c r="F465" s="170"/>
      <c r="G465" s="186"/>
      <c r="H465" s="147" t="s">
        <v>46</v>
      </c>
      <c r="I465" s="40"/>
      <c r="J465" s="176">
        <f t="shared" ref="J465:J466" ca="1" si="317">J467+J469</f>
        <v>7528.84</v>
      </c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</row>
    <row r="466" spans="1:21" ht="18.75" x14ac:dyDescent="0.25">
      <c r="A466" s="213"/>
      <c r="B466" s="170"/>
      <c r="C466" s="170"/>
      <c r="D466" s="170"/>
      <c r="E466" s="170"/>
      <c r="F466" s="170"/>
      <c r="G466" s="186"/>
      <c r="H466" s="147" t="s">
        <v>34</v>
      </c>
      <c r="I466" s="40"/>
      <c r="J466" s="176">
        <f t="shared" ca="1" si="317"/>
        <v>605</v>
      </c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</row>
    <row r="467" spans="1:21" ht="18.75" x14ac:dyDescent="0.25">
      <c r="A467" s="213"/>
      <c r="B467" s="170"/>
      <c r="C467" s="170"/>
      <c r="D467" s="353" t="s">
        <v>191</v>
      </c>
      <c r="E467" s="170"/>
      <c r="F467" s="170"/>
      <c r="G467" s="186"/>
      <c r="H467" s="147" t="s">
        <v>46</v>
      </c>
      <c r="I467" s="40"/>
      <c r="J467" s="176">
        <f ca="1">IFERROR(__xludf.DUMMYFUNCTION("IMPORTRANGE(""https://docs.google.com/spreadsheets/d/12pGRKgvn2b31Uz_fjAl3XPzZUM_F2_O-zAHL2XHEPZg/edit?usp=sharing"",""รวมเหนือ!J469"")+IMPORTRANGE(""https://docs.google.com/spreadsheets/d/1c0UfJUA6nE6esVMy0kRcX_PENtt96DMxicQpqi3tips/edit?usp=sharing"","""&amp;"รวมตะวันออกเฉียงเหนือ!J469"")+IMPORTRANGE(""https://docs.google.com/spreadsheets/d/1iNWbYmj0agxPDl_yJgGu1eIremFPVMUuMWUKAjBzvrk/edit?usp=sharing"",""รวมกลาง!J469"")+IMPORTRANGE(""https://docs.google.com/spreadsheets/d/1uenpWDAH2bchvfvsSIjpd4bRU5D1faxJOaE3"&amp;"4GQM5-c/edit?usp=sharing"",""รวมใต้!J469"")"),4922.25)</f>
        <v>4922.25</v>
      </c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</row>
    <row r="468" spans="1:21" ht="18.75" x14ac:dyDescent="0.25">
      <c r="A468" s="213"/>
      <c r="B468" s="170"/>
      <c r="C468" s="170"/>
      <c r="D468" s="170"/>
      <c r="E468" s="170"/>
      <c r="F468" s="170"/>
      <c r="G468" s="186"/>
      <c r="H468" s="147" t="s">
        <v>34</v>
      </c>
      <c r="I468" s="40"/>
      <c r="J468" s="176">
        <f ca="1">IFERROR(__xludf.DUMMYFUNCTION("IMPORTRANGE(""https://docs.google.com/spreadsheets/d/12pGRKgvn2b31Uz_fjAl3XPzZUM_F2_O-zAHL2XHEPZg/edit?usp=sharing"",""รวมเหนือ!J470"")+IMPORTRANGE(""https://docs.google.com/spreadsheets/d/1c0UfJUA6nE6esVMy0kRcX_PENtt96DMxicQpqi3tips/edit?usp=sharing"","""&amp;"รวมตะวันออกเฉียงเหนือ!J470"")+IMPORTRANGE(""https://docs.google.com/spreadsheets/d/1iNWbYmj0agxPDl_yJgGu1eIremFPVMUuMWUKAjBzvrk/edit?usp=sharing"",""รวมกลาง!J470"")+IMPORTRANGE(""https://docs.google.com/spreadsheets/d/1uenpWDAH2bchvfvsSIjpd4bRU5D1faxJOaE3"&amp;"4GQM5-c/edit?usp=sharing"",""รวมใต้!J470"")"),452)</f>
        <v>452</v>
      </c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</row>
    <row r="469" spans="1:21" ht="18.75" x14ac:dyDescent="0.25">
      <c r="A469" s="213"/>
      <c r="B469" s="170"/>
      <c r="C469" s="170"/>
      <c r="D469" s="353" t="s">
        <v>192</v>
      </c>
      <c r="E469" s="170"/>
      <c r="F469" s="170"/>
      <c r="G469" s="186"/>
      <c r="H469" s="147" t="s">
        <v>46</v>
      </c>
      <c r="I469" s="40"/>
      <c r="J469" s="176">
        <f ca="1">IFERROR(__xludf.DUMMYFUNCTION("IMPORTRANGE(""https://docs.google.com/spreadsheets/d/12pGRKgvn2b31Uz_fjAl3XPzZUM_F2_O-zAHL2XHEPZg/edit?usp=sharing"",""รวมเหนือ!J471"")+IMPORTRANGE(""https://docs.google.com/spreadsheets/d/1c0UfJUA6nE6esVMy0kRcX_PENtt96DMxicQpqi3tips/edit?usp=sharing"","""&amp;"รวมตะวันออกเฉียงเหนือ!J471"")+IMPORTRANGE(""https://docs.google.com/spreadsheets/d/1iNWbYmj0agxPDl_yJgGu1eIremFPVMUuMWUKAjBzvrk/edit?usp=sharing"",""รวมกลาง!J471"")+IMPORTRANGE(""https://docs.google.com/spreadsheets/d/1uenpWDAH2bchvfvsSIjpd4bRU5D1faxJOaE3"&amp;"4GQM5-c/edit?usp=sharing"",""รวมใต้!J471"")"),2606.59)</f>
        <v>2606.59</v>
      </c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</row>
    <row r="470" spans="1:21" ht="18.75" x14ac:dyDescent="0.25">
      <c r="A470" s="213"/>
      <c r="B470" s="170"/>
      <c r="C470" s="170"/>
      <c r="D470" s="170"/>
      <c r="E470" s="170"/>
      <c r="F470" s="170"/>
      <c r="G470" s="186"/>
      <c r="H470" s="147" t="s">
        <v>34</v>
      </c>
      <c r="I470" s="40"/>
      <c r="J470" s="176">
        <f ca="1">IFERROR(__xludf.DUMMYFUNCTION("IMPORTRANGE(""https://docs.google.com/spreadsheets/d/12pGRKgvn2b31Uz_fjAl3XPzZUM_F2_O-zAHL2XHEPZg/edit?usp=sharing"",""รวมเหนือ!J472"")+IMPORTRANGE(""https://docs.google.com/spreadsheets/d/1c0UfJUA6nE6esVMy0kRcX_PENtt96DMxicQpqi3tips/edit?usp=sharing"","""&amp;"รวมตะวันออกเฉียงเหนือ!J472"")+IMPORTRANGE(""https://docs.google.com/spreadsheets/d/1iNWbYmj0agxPDl_yJgGu1eIremFPVMUuMWUKAjBzvrk/edit?usp=sharing"",""รวมกลาง!J472"")+IMPORTRANGE(""https://docs.google.com/spreadsheets/d/1uenpWDAH2bchvfvsSIjpd4bRU5D1faxJOaE3"&amp;"4GQM5-c/edit?usp=sharing"",""รวมใต้!J472"")"),153)</f>
        <v>153</v>
      </c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</row>
    <row r="471" spans="1:21" ht="18.75" x14ac:dyDescent="0.25">
      <c r="A471" s="213"/>
      <c r="B471" s="170"/>
      <c r="C471" s="214" t="s">
        <v>193</v>
      </c>
      <c r="D471" s="170"/>
      <c r="E471" s="170"/>
      <c r="F471" s="170"/>
      <c r="G471" s="186"/>
      <c r="H471" s="147" t="s">
        <v>46</v>
      </c>
      <c r="I471" s="40"/>
      <c r="J471" s="176">
        <f ca="1">IFERROR(__xludf.DUMMYFUNCTION("IMPORTRANGE(""https://docs.google.com/spreadsheets/d/12pGRKgvn2b31Uz_fjAl3XPzZUM_F2_O-zAHL2XHEPZg/edit?usp=sharing"",""รวมเหนือ!J473"")+IMPORTRANGE(""https://docs.google.com/spreadsheets/d/1c0UfJUA6nE6esVMy0kRcX_PENtt96DMxicQpqi3tips/edit?usp=sharing"","""&amp;"รวมตะวันออกเฉียงเหนือ!J473"")+IMPORTRANGE(""https://docs.google.com/spreadsheets/d/1iNWbYmj0agxPDl_yJgGu1eIremFPVMUuMWUKAjBzvrk/edit?usp=sharing"",""รวมกลาง!J473"")+IMPORTRANGE(""https://docs.google.com/spreadsheets/d/1uenpWDAH2bchvfvsSIjpd4bRU5D1faxJOaE3"&amp;"4GQM5-c/edit?usp=sharing"",""รวมใต้!J473"")"),2612.63)</f>
        <v>2612.63</v>
      </c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</row>
    <row r="472" spans="1:21" ht="18.75" x14ac:dyDescent="0.25">
      <c r="A472" s="213"/>
      <c r="B472" s="170"/>
      <c r="C472" s="170"/>
      <c r="D472" s="170"/>
      <c r="E472" s="170"/>
      <c r="F472" s="170"/>
      <c r="G472" s="186"/>
      <c r="H472" s="147" t="s">
        <v>34</v>
      </c>
      <c r="I472" s="40"/>
      <c r="J472" s="176">
        <f ca="1">IFERROR(__xludf.DUMMYFUNCTION("IMPORTRANGE(""https://docs.google.com/spreadsheets/d/12pGRKgvn2b31Uz_fjAl3XPzZUM_F2_O-zAHL2XHEPZg/edit?usp=sharing"",""รวมเหนือ!J474"")+IMPORTRANGE(""https://docs.google.com/spreadsheets/d/1c0UfJUA6nE6esVMy0kRcX_PENtt96DMxicQpqi3tips/edit?usp=sharing"","""&amp;"รวมตะวันออกเฉียงเหนือ!J474"")+IMPORTRANGE(""https://docs.google.com/spreadsheets/d/1iNWbYmj0agxPDl_yJgGu1eIremFPVMUuMWUKAjBzvrk/edit?usp=sharing"",""รวมกลาง!J474"")+IMPORTRANGE(""https://docs.google.com/spreadsheets/d/1uenpWDAH2bchvfvsSIjpd4bRU5D1faxJOaE3"&amp;"4GQM5-c/edit?usp=sharing"",""รวมใต้!J474"")"),201)</f>
        <v>201</v>
      </c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</row>
    <row r="473" spans="1:21" ht="19.5" x14ac:dyDescent="0.3">
      <c r="A473" s="344"/>
      <c r="B473" s="354" t="s">
        <v>194</v>
      </c>
      <c r="C473" s="346"/>
      <c r="D473" s="346"/>
      <c r="E473" s="346"/>
      <c r="F473" s="346"/>
      <c r="G473" s="347"/>
      <c r="H473" s="355" t="s">
        <v>46</v>
      </c>
      <c r="I473" s="349">
        <v>2500000</v>
      </c>
      <c r="J473" s="349">
        <f>J476+J478</f>
        <v>2887916</v>
      </c>
      <c r="K473" s="350">
        <f t="shared" ref="K473:K475" si="318">IF(I473&gt;0,J473*100/I473,0)</f>
        <v>115.51664</v>
      </c>
      <c r="L473" s="41"/>
      <c r="M473" s="41"/>
      <c r="N473" s="41"/>
      <c r="O473" s="41"/>
      <c r="P473" s="41"/>
      <c r="Q473" s="41"/>
      <c r="R473" s="41"/>
      <c r="S473" s="41"/>
      <c r="T473" s="41"/>
      <c r="U473" s="41"/>
    </row>
    <row r="474" spans="1:21" ht="19.5" x14ac:dyDescent="0.3">
      <c r="A474" s="213"/>
      <c r="B474" s="170"/>
      <c r="C474" s="351" t="s">
        <v>195</v>
      </c>
      <c r="D474" s="170"/>
      <c r="E474" s="170"/>
      <c r="F474" s="170"/>
      <c r="G474" s="186"/>
      <c r="H474" s="145" t="s">
        <v>46</v>
      </c>
      <c r="I474" s="161">
        <v>2500000</v>
      </c>
      <c r="J474" s="161">
        <f t="shared" ref="J474:J475" si="319">J476+J478</f>
        <v>2887916</v>
      </c>
      <c r="K474" s="146">
        <f t="shared" si="318"/>
        <v>115.51664</v>
      </c>
      <c r="L474" s="41"/>
      <c r="M474" s="41"/>
      <c r="N474" s="41"/>
      <c r="O474" s="41"/>
      <c r="P474" s="41"/>
      <c r="Q474" s="41"/>
      <c r="R474" s="41"/>
      <c r="S474" s="41"/>
      <c r="T474" s="41"/>
      <c r="U474" s="41"/>
    </row>
    <row r="475" spans="1:21" ht="19.5" x14ac:dyDescent="0.3">
      <c r="A475" s="213"/>
      <c r="B475" s="170"/>
      <c r="C475" s="214" t="s">
        <v>196</v>
      </c>
      <c r="D475" s="170"/>
      <c r="E475" s="170"/>
      <c r="F475" s="170"/>
      <c r="G475" s="186"/>
      <c r="H475" s="145" t="s">
        <v>34</v>
      </c>
      <c r="I475" s="161">
        <v>0</v>
      </c>
      <c r="J475" s="161">
        <f t="shared" si="319"/>
        <v>317730</v>
      </c>
      <c r="K475" s="146">
        <f t="shared" si="318"/>
        <v>0</v>
      </c>
      <c r="L475" s="41"/>
      <c r="M475" s="41"/>
      <c r="N475" s="41"/>
      <c r="O475" s="41"/>
      <c r="P475" s="41"/>
      <c r="Q475" s="41"/>
      <c r="R475" s="41"/>
      <c r="S475" s="41"/>
      <c r="T475" s="41"/>
      <c r="U475" s="41"/>
    </row>
    <row r="476" spans="1:21" ht="18.75" x14ac:dyDescent="0.25">
      <c r="A476" s="213"/>
      <c r="B476" s="170"/>
      <c r="C476" s="170"/>
      <c r="D476" s="214" t="s">
        <v>197</v>
      </c>
      <c r="E476" s="170"/>
      <c r="F476" s="170"/>
      <c r="G476" s="186"/>
      <c r="H476" s="147" t="s">
        <v>46</v>
      </c>
      <c r="I476" s="40"/>
      <c r="J476" s="176">
        <v>2878115</v>
      </c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</row>
    <row r="477" spans="1:21" ht="18.75" x14ac:dyDescent="0.25">
      <c r="A477" s="213"/>
      <c r="B477" s="170"/>
      <c r="C477" s="170"/>
      <c r="D477" s="170"/>
      <c r="E477" s="170"/>
      <c r="F477" s="170"/>
      <c r="G477" s="186"/>
      <c r="H477" s="147" t="s">
        <v>34</v>
      </c>
      <c r="I477" s="40"/>
      <c r="J477" s="176">
        <v>317055</v>
      </c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</row>
    <row r="478" spans="1:21" ht="18.75" x14ac:dyDescent="0.25">
      <c r="A478" s="213"/>
      <c r="B478" s="170"/>
      <c r="C478" s="170"/>
      <c r="D478" s="353" t="s">
        <v>198</v>
      </c>
      <c r="E478" s="170"/>
      <c r="F478" s="170"/>
      <c r="G478" s="186"/>
      <c r="H478" s="147" t="s">
        <v>46</v>
      </c>
      <c r="I478" s="40"/>
      <c r="J478" s="176">
        <v>9801</v>
      </c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</row>
    <row r="479" spans="1:21" ht="18.75" x14ac:dyDescent="0.25">
      <c r="A479" s="213"/>
      <c r="B479" s="170"/>
      <c r="C479" s="170"/>
      <c r="D479" s="170"/>
      <c r="E479" s="170"/>
      <c r="F479" s="170"/>
      <c r="G479" s="186"/>
      <c r="H479" s="147" t="s">
        <v>34</v>
      </c>
      <c r="I479" s="40"/>
      <c r="J479" s="176">
        <v>675</v>
      </c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</row>
    <row r="480" spans="1:21" ht="18.75" hidden="1" x14ac:dyDescent="0.25">
      <c r="A480" s="213"/>
      <c r="B480" s="170"/>
      <c r="C480" s="170"/>
      <c r="D480" s="353" t="s">
        <v>199</v>
      </c>
      <c r="E480" s="170"/>
      <c r="F480" s="170"/>
      <c r="G480" s="186"/>
      <c r="H480" s="147" t="s">
        <v>46</v>
      </c>
      <c r="I480" s="40"/>
      <c r="J480" s="176">
        <v>0</v>
      </c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</row>
    <row r="481" spans="1:21" ht="18.75" hidden="1" x14ac:dyDescent="0.25">
      <c r="A481" s="213"/>
      <c r="B481" s="170"/>
      <c r="C481" s="170"/>
      <c r="D481" s="170"/>
      <c r="E481" s="170"/>
      <c r="F481" s="170"/>
      <c r="G481" s="186"/>
      <c r="H481" s="147" t="s">
        <v>34</v>
      </c>
      <c r="I481" s="40"/>
      <c r="J481" s="176">
        <v>0</v>
      </c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</row>
    <row r="482" spans="1:21" ht="19.5" x14ac:dyDescent="0.3">
      <c r="A482" s="213"/>
      <c r="B482" s="170"/>
      <c r="C482" s="351" t="s">
        <v>200</v>
      </c>
      <c r="D482" s="170"/>
      <c r="E482" s="170"/>
      <c r="F482" s="170"/>
      <c r="G482" s="186"/>
      <c r="H482" s="145" t="s">
        <v>46</v>
      </c>
      <c r="I482" s="161">
        <f ca="1">IFERROR(__xludf.DUMMYFUNCTION("IMPORTRANGE(""https://docs.google.com/spreadsheets/d/12pGRKgvn2b31Uz_fjAl3XPzZUM_F2_O-zAHL2XHEPZg/edit?usp=sharing"",""รวมเหนือ!I484"")+IMPORTRANGE(""https://docs.google.com/spreadsheets/d/1c0UfJUA6nE6esVMy0kRcX_PENtt96DMxicQpqi3tips/edit?usp=sharing"","""&amp;"รวมตะวันออกเฉียงเหนือ!I484"")+IMPORTRANGE(""https://docs.google.com/spreadsheets/d/1iNWbYmj0agxPDl_yJgGu1eIremFPVMUuMWUKAjBzvrk/edit?usp=sharing"",""รวมกลาง!I484"")+IMPORTRANGE(""https://docs.google.com/spreadsheets/d/1uenpWDAH2bchvfvsSIjpd4bRU5D1faxJOaE3"&amp;"4GQM5-c/edit?usp=sharing"",""รวมใต้!I484"")"),9801)</f>
        <v>9801</v>
      </c>
      <c r="J482" s="161">
        <f t="shared" ref="J482:J483" ca="1" si="320">J484+J486+J488</f>
        <v>4851.0300000000007</v>
      </c>
      <c r="K482" s="146">
        <f t="shared" ref="K482:K483" ca="1" si="321">IF(I482&gt;0,J482*100/I482,0)</f>
        <v>49.495255586164681</v>
      </c>
      <c r="L482" s="41"/>
      <c r="M482" s="41"/>
      <c r="N482" s="41"/>
      <c r="O482" s="41"/>
      <c r="P482" s="41"/>
      <c r="Q482" s="41"/>
      <c r="R482" s="41"/>
      <c r="S482" s="41"/>
      <c r="T482" s="41"/>
      <c r="U482" s="41"/>
    </row>
    <row r="483" spans="1:21" ht="19.5" x14ac:dyDescent="0.3">
      <c r="A483" s="213"/>
      <c r="B483" s="170"/>
      <c r="C483" s="214" t="s">
        <v>201</v>
      </c>
      <c r="D483" s="170"/>
      <c r="E483" s="170"/>
      <c r="F483" s="170"/>
      <c r="G483" s="186"/>
      <c r="H483" s="145" t="s">
        <v>34</v>
      </c>
      <c r="I483" s="161">
        <f ca="1">IFERROR(__xludf.DUMMYFUNCTION("IMPORTRANGE(""https://docs.google.com/spreadsheets/d/12pGRKgvn2b31Uz_fjAl3XPzZUM_F2_O-zAHL2XHEPZg/edit?usp=sharing"",""รวมเหนือ!I485"")+IMPORTRANGE(""https://docs.google.com/spreadsheets/d/1c0UfJUA6nE6esVMy0kRcX_PENtt96DMxicQpqi3tips/edit?usp=sharing"","""&amp;"รวมตะวันออกเฉียงเหนือ!I485"")+IMPORTRANGE(""https://docs.google.com/spreadsheets/d/1iNWbYmj0agxPDl_yJgGu1eIremFPVMUuMWUKAjBzvrk/edit?usp=sharing"",""รวมกลาง!I485"")+IMPORTRANGE(""https://docs.google.com/spreadsheets/d/1uenpWDAH2bchvfvsSIjpd4bRU5D1faxJOaE3"&amp;"4GQM5-c/edit?usp=sharing"",""รวมใต้!I485"")"),675)</f>
        <v>675</v>
      </c>
      <c r="J483" s="161">
        <f t="shared" ca="1" si="320"/>
        <v>430</v>
      </c>
      <c r="K483" s="146">
        <f t="shared" ca="1" si="321"/>
        <v>63.703703703703702</v>
      </c>
      <c r="L483" s="41"/>
      <c r="M483" s="41"/>
      <c r="N483" s="41"/>
      <c r="O483" s="41"/>
      <c r="P483" s="41"/>
      <c r="Q483" s="41"/>
      <c r="R483" s="41"/>
      <c r="S483" s="41"/>
      <c r="T483" s="41"/>
      <c r="U483" s="41"/>
    </row>
    <row r="484" spans="1:21" ht="18.75" x14ac:dyDescent="0.25">
      <c r="A484" s="213"/>
      <c r="B484" s="170"/>
      <c r="C484" s="170"/>
      <c r="D484" s="353" t="s">
        <v>202</v>
      </c>
      <c r="E484" s="170"/>
      <c r="F484" s="170"/>
      <c r="G484" s="186"/>
      <c r="H484" s="147" t="s">
        <v>46</v>
      </c>
      <c r="I484" s="40"/>
      <c r="J484" s="176">
        <f ca="1">IFERROR(__xludf.DUMMYFUNCTION("IMPORTRANGE(""https://docs.google.com/spreadsheets/d/12pGRKgvn2b31Uz_fjAl3XPzZUM_F2_O-zAHL2XHEPZg/edit?usp=sharing"",""รวมเหนือ!J486"")+IMPORTRANGE(""https://docs.google.com/spreadsheets/d/1c0UfJUA6nE6esVMy0kRcX_PENtt96DMxicQpqi3tips/edit?usp=sharing"","""&amp;"รวมตะวันออกเฉียงเหนือ!J486"")+IMPORTRANGE(""https://docs.google.com/spreadsheets/d/1iNWbYmj0agxPDl_yJgGu1eIremFPVMUuMWUKAjBzvrk/edit?usp=sharing"",""รวมกลาง!J486"")+IMPORTRANGE(""https://docs.google.com/spreadsheets/d/1uenpWDAH2bchvfvsSIjpd4bRU5D1faxJOaE3"&amp;"4GQM5-c/edit?usp=sharing"",""รวมใต้!J486"")"),1887.76)</f>
        <v>1887.76</v>
      </c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</row>
    <row r="485" spans="1:21" ht="18.75" x14ac:dyDescent="0.25">
      <c r="A485" s="213"/>
      <c r="B485" s="170"/>
      <c r="C485" s="170"/>
      <c r="D485" s="170"/>
      <c r="E485" s="170"/>
      <c r="F485" s="170"/>
      <c r="G485" s="186"/>
      <c r="H485" s="147" t="s">
        <v>34</v>
      </c>
      <c r="I485" s="40"/>
      <c r="J485" s="176">
        <f ca="1">IFERROR(__xludf.DUMMYFUNCTION("IMPORTRANGE(""https://docs.google.com/spreadsheets/d/12pGRKgvn2b31Uz_fjAl3XPzZUM_F2_O-zAHL2XHEPZg/edit?usp=sharing"",""รวมเหนือ!J487"")+IMPORTRANGE(""https://docs.google.com/spreadsheets/d/1c0UfJUA6nE6esVMy0kRcX_PENtt96DMxicQpqi3tips/edit?usp=sharing"","""&amp;"รวมตะวันออกเฉียงเหนือ!J487"")+IMPORTRANGE(""https://docs.google.com/spreadsheets/d/1iNWbYmj0agxPDl_yJgGu1eIremFPVMUuMWUKAjBzvrk/edit?usp=sharing"",""รวมกลาง!J487"")+IMPORTRANGE(""https://docs.google.com/spreadsheets/d/1uenpWDAH2bchvfvsSIjpd4bRU5D1faxJOaE3"&amp;"4GQM5-c/edit?usp=sharing"",""รวมใต้!J487"")"),190)</f>
        <v>190</v>
      </c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</row>
    <row r="486" spans="1:21" ht="18.75" x14ac:dyDescent="0.25">
      <c r="A486" s="213"/>
      <c r="B486" s="170"/>
      <c r="C486" s="170"/>
      <c r="D486" s="353" t="s">
        <v>203</v>
      </c>
      <c r="E486" s="170"/>
      <c r="F486" s="170"/>
      <c r="G486" s="186"/>
      <c r="H486" s="147" t="s">
        <v>46</v>
      </c>
      <c r="I486" s="40"/>
      <c r="J486" s="176">
        <f ca="1">IFERROR(__xludf.DUMMYFUNCTION("IMPORTRANGE(""https://docs.google.com/spreadsheets/d/12pGRKgvn2b31Uz_fjAl3XPzZUM_F2_O-zAHL2XHEPZg/edit?usp=sharing"",""รวมเหนือ!J488"")+IMPORTRANGE(""https://docs.google.com/spreadsheets/d/1c0UfJUA6nE6esVMy0kRcX_PENtt96DMxicQpqi3tips/edit?usp=sharing"","""&amp;"รวมตะวันออกเฉียงเหนือ!J488"")+IMPORTRANGE(""https://docs.google.com/spreadsheets/d/1iNWbYmj0agxPDl_yJgGu1eIremFPVMUuMWUKAjBzvrk/edit?usp=sharing"",""รวมกลาง!J488"")+IMPORTRANGE(""https://docs.google.com/spreadsheets/d/1uenpWDAH2bchvfvsSIjpd4bRU5D1faxJOaE3"&amp;"4GQM5-c/edit?usp=sharing"",""รวมใต้!J488"")"),2246.38)</f>
        <v>2246.38</v>
      </c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</row>
    <row r="487" spans="1:21" ht="18.75" x14ac:dyDescent="0.25">
      <c r="A487" s="213"/>
      <c r="B487" s="170"/>
      <c r="C487" s="170"/>
      <c r="D487" s="170"/>
      <c r="E487" s="170"/>
      <c r="F487" s="170"/>
      <c r="G487" s="186"/>
      <c r="H487" s="147" t="s">
        <v>34</v>
      </c>
      <c r="I487" s="40"/>
      <c r="J487" s="176">
        <f ca="1">IFERROR(__xludf.DUMMYFUNCTION("IMPORTRANGE(""https://docs.google.com/spreadsheets/d/12pGRKgvn2b31Uz_fjAl3XPzZUM_F2_O-zAHL2XHEPZg/edit?usp=sharing"",""รวมเหนือ!J489"")+IMPORTRANGE(""https://docs.google.com/spreadsheets/d/1c0UfJUA6nE6esVMy0kRcX_PENtt96DMxicQpqi3tips/edit?usp=sharing"","""&amp;"รวมตะวันออกเฉียงเหนือ!J489"")+IMPORTRANGE(""https://docs.google.com/spreadsheets/d/1iNWbYmj0agxPDl_yJgGu1eIremFPVMUuMWUKAjBzvrk/edit?usp=sharing"",""รวมกลาง!J489"")+IMPORTRANGE(""https://docs.google.com/spreadsheets/d/1uenpWDAH2bchvfvsSIjpd4bRU5D1faxJOaE3"&amp;"4GQM5-c/edit?usp=sharing"",""รวมใต้!J489"")"),202)</f>
        <v>202</v>
      </c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</row>
    <row r="488" spans="1:21" ht="18.75" x14ac:dyDescent="0.25">
      <c r="A488" s="213"/>
      <c r="B488" s="170"/>
      <c r="C488" s="170"/>
      <c r="D488" s="353" t="s">
        <v>204</v>
      </c>
      <c r="E488" s="170"/>
      <c r="F488" s="170"/>
      <c r="G488" s="186"/>
      <c r="H488" s="147" t="s">
        <v>46</v>
      </c>
      <c r="I488" s="40"/>
      <c r="J488" s="176">
        <f ca="1">IFERROR(__xludf.DUMMYFUNCTION("IMPORTRANGE(""https://docs.google.com/spreadsheets/d/12pGRKgvn2b31Uz_fjAl3XPzZUM_F2_O-zAHL2XHEPZg/edit?usp=sharing"",""รวมเหนือ!J490"")+IMPORTRANGE(""https://docs.google.com/spreadsheets/d/1c0UfJUA6nE6esVMy0kRcX_PENtt96DMxicQpqi3tips/edit?usp=sharing"","""&amp;"รวมตะวันออกเฉียงเหนือ!J490"")+IMPORTRANGE(""https://docs.google.com/spreadsheets/d/1iNWbYmj0agxPDl_yJgGu1eIremFPVMUuMWUKAjBzvrk/edit?usp=sharing"",""รวมกลาง!J490"")+IMPORTRANGE(""https://docs.google.com/spreadsheets/d/1uenpWDAH2bchvfvsSIjpd4bRU5D1faxJOaE3"&amp;"4GQM5-c/edit?usp=sharing"",""รวมใต้!J490"")"),716.89)</f>
        <v>716.89</v>
      </c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</row>
    <row r="489" spans="1:21" ht="18.75" x14ac:dyDescent="0.25">
      <c r="A489" s="321"/>
      <c r="B489" s="322"/>
      <c r="C489" s="322"/>
      <c r="D489" s="322"/>
      <c r="E489" s="322"/>
      <c r="F489" s="322"/>
      <c r="G489" s="356"/>
      <c r="H489" s="357" t="s">
        <v>34</v>
      </c>
      <c r="I489" s="51"/>
      <c r="J489" s="193">
        <f ca="1">IFERROR(__xludf.DUMMYFUNCTION("IMPORTRANGE(""https://docs.google.com/spreadsheets/d/12pGRKgvn2b31Uz_fjAl3XPzZUM_F2_O-zAHL2XHEPZg/edit?usp=sharing"",""รวมเหนือ!J491"")+IMPORTRANGE(""https://docs.google.com/spreadsheets/d/1c0UfJUA6nE6esVMy0kRcX_PENtt96DMxicQpqi3tips/edit?usp=sharing"","""&amp;"รวมตะวันออกเฉียงเหนือ!J491"")+IMPORTRANGE(""https://docs.google.com/spreadsheets/d/1iNWbYmj0agxPDl_yJgGu1eIremFPVMUuMWUKAjBzvrk/edit?usp=sharing"",""รวมกลาง!J491"")+IMPORTRANGE(""https://docs.google.com/spreadsheets/d/1uenpWDAH2bchvfvsSIjpd4bRU5D1faxJOaE3"&amp;"4GQM5-c/edit?usp=sharing"",""รวมใต้!J491"")"),38)</f>
        <v>38</v>
      </c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</row>
    <row r="490" spans="1:21" ht="19.5" x14ac:dyDescent="0.3">
      <c r="A490" s="314"/>
      <c r="B490" s="324" t="s">
        <v>205</v>
      </c>
      <c r="C490" s="316"/>
      <c r="D490" s="316"/>
      <c r="E490" s="304"/>
      <c r="F490" s="304"/>
      <c r="G490" s="305"/>
      <c r="H490" s="341" t="s">
        <v>35</v>
      </c>
      <c r="I490" s="307">
        <f t="shared" ref="I490:J490" ca="1" si="322">I501</f>
        <v>500</v>
      </c>
      <c r="J490" s="307">
        <f t="shared" ca="1" si="322"/>
        <v>500</v>
      </c>
      <c r="K490" s="308">
        <f ca="1">IF(I490&gt;0,J490*100/I490,0)</f>
        <v>100</v>
      </c>
      <c r="L490" s="309"/>
      <c r="M490" s="309"/>
      <c r="N490" s="309"/>
      <c r="O490" s="309"/>
      <c r="P490" s="309"/>
      <c r="Q490" s="309"/>
      <c r="R490" s="309"/>
      <c r="S490" s="309"/>
      <c r="T490" s="309"/>
      <c r="U490" s="309"/>
    </row>
    <row r="491" spans="1:21" ht="19.5" x14ac:dyDescent="0.3">
      <c r="A491" s="142"/>
      <c r="B491" s="170"/>
      <c r="C491" s="143" t="s">
        <v>18</v>
      </c>
      <c r="D491" s="537" t="s">
        <v>19</v>
      </c>
      <c r="E491" s="535"/>
      <c r="F491" s="535"/>
      <c r="G491" s="536"/>
      <c r="H491" s="227" t="s">
        <v>14</v>
      </c>
      <c r="I491" s="40"/>
      <c r="J491" s="40"/>
      <c r="K491" s="41"/>
      <c r="L491" s="146">
        <f t="shared" ref="L491:N491" ca="1" si="323">L492+L493</f>
        <v>607000</v>
      </c>
      <c r="M491" s="146">
        <f t="shared" ca="1" si="323"/>
        <v>607000</v>
      </c>
      <c r="N491" s="146">
        <f t="shared" ca="1" si="323"/>
        <v>607000</v>
      </c>
      <c r="O491" s="146">
        <f t="shared" ref="O491:O499" ca="1" si="324">IF(L491&gt;0,N491*100/L491,0)</f>
        <v>100</v>
      </c>
      <c r="P491" s="146">
        <f t="shared" ref="P491:P499" ca="1" si="325">IF(M491&gt;0,N491*100/M491,0)</f>
        <v>100</v>
      </c>
      <c r="Q491" s="146">
        <f t="shared" ref="Q491:S491" ca="1" si="326">Q492+Q493</f>
        <v>8192000</v>
      </c>
      <c r="R491" s="146">
        <f t="shared" ca="1" si="326"/>
        <v>8192000</v>
      </c>
      <c r="S491" s="146">
        <f t="shared" ca="1" si="326"/>
        <v>6689213.6799999997</v>
      </c>
      <c r="T491" s="146">
        <f t="shared" ref="T491:T499" ca="1" si="327">IF(Q491&gt;0,S491*100/Q491,0)</f>
        <v>81.655440429687502</v>
      </c>
      <c r="U491" s="146">
        <f t="shared" ref="U491:U499" ca="1" si="328">IF(R491&gt;0,S491*100/R491,0)</f>
        <v>81.655440429687502</v>
      </c>
    </row>
    <row r="492" spans="1:21" ht="18.75" x14ac:dyDescent="0.25">
      <c r="A492" s="142"/>
      <c r="B492" s="170"/>
      <c r="C492" s="170"/>
      <c r="D492" s="153"/>
      <c r="E492" s="43" t="s">
        <v>165</v>
      </c>
      <c r="F492" s="36"/>
      <c r="G492" s="38"/>
      <c r="H492" s="148" t="s">
        <v>14</v>
      </c>
      <c r="I492" s="40"/>
      <c r="J492" s="40"/>
      <c r="K492" s="41"/>
      <c r="L492" s="42">
        <f t="shared" ref="L492:N492" ca="1" si="329">L495+L498</f>
        <v>273100</v>
      </c>
      <c r="M492" s="42">
        <f t="shared" ca="1" si="329"/>
        <v>273100</v>
      </c>
      <c r="N492" s="42">
        <f t="shared" ca="1" si="329"/>
        <v>273100</v>
      </c>
      <c r="O492" s="42">
        <f t="shared" ca="1" si="324"/>
        <v>100</v>
      </c>
      <c r="P492" s="42">
        <f t="shared" ca="1" si="325"/>
        <v>100</v>
      </c>
      <c r="Q492" s="42">
        <f ca="1">IFERROR(__xludf.DUMMYFUNCTION("IMPORTRANGE(""https://docs.google.com/spreadsheets/d/1ItG2mGa2ceCfYo0BwxsXqNm01IGEUdYcSSLTEv9YCik/edit?usp=sharing"",""เบิกจ่ายกองทุน!AD11"")"),1411600)</f>
        <v>1411600</v>
      </c>
      <c r="R492" s="42">
        <f ca="1">IFERROR(__xludf.DUMMYFUNCTION("IMPORTRANGE(""https://docs.google.com/spreadsheets/d/1ItG2mGa2ceCfYo0BwxsXqNm01IGEUdYcSSLTEv9YCik/edit?usp=sharing"",""เบิกจ่ายกองทุน!AE11"")"),1334600)</f>
        <v>1334600</v>
      </c>
      <c r="S492" s="42">
        <f ca="1">IFERROR(__xludf.DUMMYFUNCTION("IMPORTRANGE(""https://docs.google.com/spreadsheets/d/1ItG2mGa2ceCfYo0BwxsXqNm01IGEUdYcSSLTEv9YCik/edit?usp=sharing"",""เบิกจ่ายกองทุน!AF11"")"),170931.5)</f>
        <v>170931.5</v>
      </c>
      <c r="T492" s="42">
        <f t="shared" ca="1" si="327"/>
        <v>12.109060640408048</v>
      </c>
      <c r="U492" s="42">
        <f t="shared" ca="1" si="328"/>
        <v>12.807695189569909</v>
      </c>
    </row>
    <row r="493" spans="1:21" ht="18.75" x14ac:dyDescent="0.25">
      <c r="A493" s="142"/>
      <c r="B493" s="170"/>
      <c r="C493" s="170"/>
      <c r="D493" s="153"/>
      <c r="E493" s="43" t="s">
        <v>166</v>
      </c>
      <c r="F493" s="36"/>
      <c r="G493" s="38"/>
      <c r="H493" s="148" t="s">
        <v>14</v>
      </c>
      <c r="I493" s="40"/>
      <c r="J493" s="40"/>
      <c r="K493" s="41"/>
      <c r="L493" s="42">
        <f t="shared" ref="L493:N493" ca="1" si="330">L496+L499</f>
        <v>333900</v>
      </c>
      <c r="M493" s="42">
        <f t="shared" ca="1" si="330"/>
        <v>333900</v>
      </c>
      <c r="N493" s="42">
        <f t="shared" ca="1" si="330"/>
        <v>333900</v>
      </c>
      <c r="O493" s="42">
        <f t="shared" ca="1" si="324"/>
        <v>100</v>
      </c>
      <c r="P493" s="42">
        <f t="shared" ca="1" si="325"/>
        <v>100</v>
      </c>
      <c r="Q493" s="42">
        <f ca="1">IFERROR(__xludf.DUMMYFUNCTION("IMPORTRANGE(""https://docs.google.com/spreadsheets/d/12pGRKgvn2b31Uz_fjAl3XPzZUM_F2_O-zAHL2XHEPZg/edit?usp=sharing"",""รวมเหนือ!Q498"")+IMPORTRANGE(""https://docs.google.com/spreadsheets/d/1c0UfJUA6nE6esVMy0kRcX_PENtt96DMxicQpqi3tips/edit?usp=sharing"","""&amp;"รวมตะวันออกเฉียงเหนือ!Q498"")+IMPORTRANGE(""https://docs.google.com/spreadsheets/d/1iNWbYmj0agxPDl_yJgGu1eIremFPVMUuMWUKAjBzvrk/edit?usp=sharing"",""รวมกลาง!Q498"")+IMPORTRANGE(""https://docs.google.com/spreadsheets/d/1uenpWDAH2bchvfvsSIjpd4bRU5D1faxJOaE3"&amp;"4GQM5-c/edit?usp=sharing"",""รวมใต้!Q498"")"),6780400)</f>
        <v>6780400</v>
      </c>
      <c r="R493" s="42">
        <f ca="1">IFERROR(__xludf.DUMMYFUNCTION("IMPORTRANGE(""https://docs.google.com/spreadsheets/d/12pGRKgvn2b31Uz_fjAl3XPzZUM_F2_O-zAHL2XHEPZg/edit?usp=sharing"",""รวมเหนือ!R498"")+IMPORTRANGE(""https://docs.google.com/spreadsheets/d/1c0UfJUA6nE6esVMy0kRcX_PENtt96DMxicQpqi3tips/edit?usp=sharing"","""&amp;"รวมตะวันออกเฉียงเหนือ!R498"")+IMPORTRANGE(""https://docs.google.com/spreadsheets/d/1iNWbYmj0agxPDl_yJgGu1eIremFPVMUuMWUKAjBzvrk/edit?usp=sharing"",""รวมกลาง!R498"")+IMPORTRANGE(""https://docs.google.com/spreadsheets/d/1uenpWDAH2bchvfvsSIjpd4bRU5D1faxJOaE3"&amp;"4GQM5-c/edit?usp=sharing"",""รวมใต้!R498"")"),6857400)</f>
        <v>6857400</v>
      </c>
      <c r="S493" s="42">
        <f ca="1">IFERROR(__xludf.DUMMYFUNCTION("IMPORTRANGE(""https://docs.google.com/spreadsheets/d/12pGRKgvn2b31Uz_fjAl3XPzZUM_F2_O-zAHL2XHEPZg/edit?usp=sharing"",""รวมเหนือ!S498"")+IMPORTRANGE(""https://docs.google.com/spreadsheets/d/1c0UfJUA6nE6esVMy0kRcX_PENtt96DMxicQpqi3tips/edit?usp=sharing"","""&amp;"รวมตะวันออกเฉียงเหนือ!S498"")+IMPORTRANGE(""https://docs.google.com/spreadsheets/d/1iNWbYmj0agxPDl_yJgGu1eIremFPVMUuMWUKAjBzvrk/edit?usp=sharing"",""รวมกลาง!S498"")+IMPORTRANGE(""https://docs.google.com/spreadsheets/d/1uenpWDAH2bchvfvsSIjpd4bRU5D1faxJOaE3"&amp;"4GQM5-c/edit?usp=sharing"",""รวมใต้!S498"")"),6518282.18)</f>
        <v>6518282.1799999997</v>
      </c>
      <c r="T493" s="42">
        <f t="shared" ca="1" si="327"/>
        <v>96.134183528995337</v>
      </c>
      <c r="U493" s="42">
        <f t="shared" ca="1" si="328"/>
        <v>95.05471723977017</v>
      </c>
    </row>
    <row r="494" spans="1:21" ht="18.75" x14ac:dyDescent="0.25">
      <c r="A494" s="142"/>
      <c r="B494" s="170"/>
      <c r="C494" s="170"/>
      <c r="D494" s="171" t="s">
        <v>22</v>
      </c>
      <c r="E494" s="36"/>
      <c r="F494" s="36"/>
      <c r="G494" s="38"/>
      <c r="H494" s="148" t="s">
        <v>14</v>
      </c>
      <c r="I494" s="149"/>
      <c r="J494" s="149"/>
      <c r="K494" s="150"/>
      <c r="L494" s="42">
        <f t="shared" ref="L494:N494" ca="1" si="331">L495+L496</f>
        <v>607000</v>
      </c>
      <c r="M494" s="42">
        <f t="shared" ca="1" si="331"/>
        <v>607000</v>
      </c>
      <c r="N494" s="42">
        <f t="shared" ca="1" si="331"/>
        <v>607000</v>
      </c>
      <c r="O494" s="42">
        <f t="shared" ca="1" si="324"/>
        <v>100</v>
      </c>
      <c r="P494" s="42">
        <f t="shared" ca="1" si="325"/>
        <v>100</v>
      </c>
      <c r="Q494" s="42">
        <f t="shared" ref="Q494:S494" si="332">Q495+Q496</f>
        <v>0</v>
      </c>
      <c r="R494" s="42">
        <f t="shared" si="332"/>
        <v>0</v>
      </c>
      <c r="S494" s="42">
        <f t="shared" si="332"/>
        <v>0</v>
      </c>
      <c r="T494" s="42">
        <f t="shared" si="327"/>
        <v>0</v>
      </c>
      <c r="U494" s="42">
        <f t="shared" si="328"/>
        <v>0</v>
      </c>
    </row>
    <row r="495" spans="1:21" ht="18.75" x14ac:dyDescent="0.25">
      <c r="A495" s="142"/>
      <c r="B495" s="170"/>
      <c r="C495" s="170"/>
      <c r="D495" s="153"/>
      <c r="E495" s="43" t="s">
        <v>165</v>
      </c>
      <c r="F495" s="36"/>
      <c r="G495" s="38"/>
      <c r="H495" s="148" t="s">
        <v>14</v>
      </c>
      <c r="I495" s="40"/>
      <c r="J495" s="40"/>
      <c r="K495" s="41"/>
      <c r="L495" s="42">
        <f ca="1">IFERROR(__xludf.DUMMYFUNCTION("IMPORTRANGE(""https://docs.google.com/spreadsheets/d/1-uDff_7J0KD5mKrp0Vvzr7lt3OU09vwQwhkpOPPYv2Y/edit?usp=sharing"",""งบพรบ!HU9"")"),273100)</f>
        <v>273100</v>
      </c>
      <c r="M495" s="42">
        <f ca="1">IFERROR(__xludf.DUMMYFUNCTION("IMPORTRANGE(""https://docs.google.com/spreadsheets/d/1-uDff_7J0KD5mKrp0Vvzr7lt3OU09vwQwhkpOPPYv2Y/edit?usp=sharing"",""งบพรบ!HZ9"")"),273100)</f>
        <v>273100</v>
      </c>
      <c r="N495" s="42">
        <f ca="1">IFERROR(__xludf.DUMMYFUNCTION("IMPORTRANGE(""https://docs.google.com/spreadsheets/d/1-uDff_7J0KD5mKrp0Vvzr7lt3OU09vwQwhkpOPPYv2Y/edit?usp=sharing"",""งบพรบ!IB9"")"),273100)</f>
        <v>273100</v>
      </c>
      <c r="O495" s="42">
        <f t="shared" ca="1" si="324"/>
        <v>100</v>
      </c>
      <c r="P495" s="42">
        <f t="shared" ca="1" si="325"/>
        <v>100</v>
      </c>
      <c r="Q495" s="42">
        <v>0</v>
      </c>
      <c r="R495" s="42">
        <v>0</v>
      </c>
      <c r="S495" s="42">
        <v>0</v>
      </c>
      <c r="T495" s="42">
        <f t="shared" si="327"/>
        <v>0</v>
      </c>
      <c r="U495" s="42">
        <f t="shared" si="328"/>
        <v>0</v>
      </c>
    </row>
    <row r="496" spans="1:21" ht="18.75" x14ac:dyDescent="0.25">
      <c r="A496" s="142"/>
      <c r="B496" s="170"/>
      <c r="C496" s="170"/>
      <c r="D496" s="153"/>
      <c r="E496" s="43" t="s">
        <v>166</v>
      </c>
      <c r="F496" s="36"/>
      <c r="G496" s="38"/>
      <c r="H496" s="148" t="s">
        <v>14</v>
      </c>
      <c r="I496" s="40"/>
      <c r="J496" s="40"/>
      <c r="K496" s="41"/>
      <c r="L496" s="42">
        <f ca="1">IFERROR(__xludf.DUMMYFUNCTION("IMPORTRANGE(""https://docs.google.com/spreadsheets/d/12pGRKgvn2b31Uz_fjAl3XPzZUM_F2_O-zAHL2XHEPZg/edit?usp=sharing"",""รวมเหนือ!L498"")+IMPORTRANGE(""https://docs.google.com/spreadsheets/d/1c0UfJUA6nE6esVMy0kRcX_PENtt96DMxicQpqi3tips/edit?usp=sharing"","""&amp;"รวมตะวันออกเฉียงเหนือ!L498"")+IMPORTRANGE(""https://docs.google.com/spreadsheets/d/1iNWbYmj0agxPDl_yJgGu1eIremFPVMUuMWUKAjBzvrk/edit?usp=sharing"",""รวมกลาง!L498"")+IMPORTRANGE(""https://docs.google.com/spreadsheets/d/1uenpWDAH2bchvfvsSIjpd4bRU5D1faxJOaE3"&amp;"4GQM5-c/edit?usp=sharing"",""รวมใต้!L498"")"),333900)</f>
        <v>333900</v>
      </c>
      <c r="M496" s="42">
        <f ca="1">IFERROR(__xludf.DUMMYFUNCTION("IMPORTRANGE(""https://docs.google.com/spreadsheets/d/12pGRKgvn2b31Uz_fjAl3XPzZUM_F2_O-zAHL2XHEPZg/edit?usp=sharing"",""รวมเหนือ!M498"")+IMPORTRANGE(""https://docs.google.com/spreadsheets/d/1c0UfJUA6nE6esVMy0kRcX_PENtt96DMxicQpqi3tips/edit?usp=sharing"","""&amp;"รวมตะวันออกเฉียงเหนือ!M498"")+IMPORTRANGE(""https://docs.google.com/spreadsheets/d/1iNWbYmj0agxPDl_yJgGu1eIremFPVMUuMWUKAjBzvrk/edit?usp=sharing"",""รวมกลาง!M498"")+IMPORTRANGE(""https://docs.google.com/spreadsheets/d/1uenpWDAH2bchvfvsSIjpd4bRU5D1faxJOaE3"&amp;"4GQM5-c/edit?usp=sharing"",""รวมใต้!M498"")"),333900)</f>
        <v>333900</v>
      </c>
      <c r="N496" s="42">
        <f ca="1">IFERROR(__xludf.DUMMYFUNCTION("IMPORTRANGE(""https://docs.google.com/spreadsheets/d/12pGRKgvn2b31Uz_fjAl3XPzZUM_F2_O-zAHL2XHEPZg/edit?usp=sharing"",""รวมเหนือ!N498"")+IMPORTRANGE(""https://docs.google.com/spreadsheets/d/1c0UfJUA6nE6esVMy0kRcX_PENtt96DMxicQpqi3tips/edit?usp=sharing"","""&amp;"รวมตะวันออกเฉียงเหนือ!N498"")+IMPORTRANGE(""https://docs.google.com/spreadsheets/d/1iNWbYmj0agxPDl_yJgGu1eIremFPVMUuMWUKAjBzvrk/edit?usp=sharing"",""รวมกลาง!N498"")+IMPORTRANGE(""https://docs.google.com/spreadsheets/d/1uenpWDAH2bchvfvsSIjpd4bRU5D1faxJOaE3"&amp;"4GQM5-c/edit?usp=sharing"",""รวมใต้!N498"")"),333900)</f>
        <v>333900</v>
      </c>
      <c r="O496" s="42">
        <f t="shared" ca="1" si="324"/>
        <v>100</v>
      </c>
      <c r="P496" s="42">
        <f t="shared" ca="1" si="325"/>
        <v>100</v>
      </c>
      <c r="Q496" s="42">
        <v>0</v>
      </c>
      <c r="R496" s="42">
        <v>0</v>
      </c>
      <c r="S496" s="42">
        <v>0</v>
      </c>
      <c r="T496" s="42">
        <f t="shared" si="327"/>
        <v>0</v>
      </c>
      <c r="U496" s="42">
        <f t="shared" si="328"/>
        <v>0</v>
      </c>
    </row>
    <row r="497" spans="1:21" ht="18.75" x14ac:dyDescent="0.25">
      <c r="A497" s="142"/>
      <c r="B497" s="170"/>
      <c r="C497" s="170"/>
      <c r="D497" s="171" t="s">
        <v>23</v>
      </c>
      <c r="E497" s="36"/>
      <c r="F497" s="36"/>
      <c r="G497" s="38"/>
      <c r="H497" s="151" t="s">
        <v>14</v>
      </c>
      <c r="I497" s="149"/>
      <c r="J497" s="149"/>
      <c r="K497" s="150"/>
      <c r="L497" s="42">
        <f t="shared" ref="L497:N497" ca="1" si="333">L498+L499</f>
        <v>0</v>
      </c>
      <c r="M497" s="42">
        <f t="shared" ca="1" si="333"/>
        <v>0</v>
      </c>
      <c r="N497" s="42">
        <f t="shared" ca="1" si="333"/>
        <v>0</v>
      </c>
      <c r="O497" s="42">
        <f t="shared" ca="1" si="324"/>
        <v>0</v>
      </c>
      <c r="P497" s="42">
        <f t="shared" ca="1" si="325"/>
        <v>0</v>
      </c>
      <c r="Q497" s="42">
        <f t="shared" ref="Q497:S497" ca="1" si="334">Q498+Q499</f>
        <v>0</v>
      </c>
      <c r="R497" s="42">
        <f t="shared" ca="1" si="334"/>
        <v>0</v>
      </c>
      <c r="S497" s="42">
        <f t="shared" ca="1" si="334"/>
        <v>0</v>
      </c>
      <c r="T497" s="42">
        <f t="shared" ca="1" si="327"/>
        <v>0</v>
      </c>
      <c r="U497" s="42">
        <f t="shared" ca="1" si="328"/>
        <v>0</v>
      </c>
    </row>
    <row r="498" spans="1:21" ht="18.75" x14ac:dyDescent="0.25">
      <c r="A498" s="142"/>
      <c r="B498" s="170"/>
      <c r="C498" s="170"/>
      <c r="D498" s="170"/>
      <c r="E498" s="43" t="s">
        <v>20</v>
      </c>
      <c r="F498" s="36"/>
      <c r="G498" s="38"/>
      <c r="H498" s="148" t="s">
        <v>14</v>
      </c>
      <c r="I498" s="149"/>
      <c r="J498" s="149"/>
      <c r="K498" s="150"/>
      <c r="L498" s="42">
        <f ca="1">IFERROR(__xludf.DUMMYFUNCTION("IMPORTRANGE(""https://docs.google.com/spreadsheets/d/1-uDff_7J0KD5mKrp0Vvzr7lt3OU09vwQwhkpOPPYv2Y/edit?usp=sharing"",""งบพรบ!HX9"")"),0)</f>
        <v>0</v>
      </c>
      <c r="M498" s="42">
        <f ca="1">IFERROR(__xludf.DUMMYFUNCTION("IMPORTRANGE(""https://docs.google.com/spreadsheets/d/1-uDff_7J0KD5mKrp0Vvzr7lt3OU09vwQwhkpOPPYv2Y/edit?usp=sharing"",""งบพรบ!IA9"")"),0)</f>
        <v>0</v>
      </c>
      <c r="N498" s="42">
        <f ca="1">IFERROR(__xludf.DUMMYFUNCTION("IMPORTRANGE(""https://docs.google.com/spreadsheets/d/1-uDff_7J0KD5mKrp0Vvzr7lt3OU09vwQwhkpOPPYv2Y/edit?usp=sharing"",""งบพรบ!IC9"")"),0)</f>
        <v>0</v>
      </c>
      <c r="O498" s="42">
        <f t="shared" ca="1" si="324"/>
        <v>0</v>
      </c>
      <c r="P498" s="42">
        <f t="shared" ca="1" si="325"/>
        <v>0</v>
      </c>
      <c r="Q498" s="42">
        <v>0</v>
      </c>
      <c r="R498" s="42">
        <v>0</v>
      </c>
      <c r="S498" s="42">
        <v>0</v>
      </c>
      <c r="T498" s="42">
        <f t="shared" si="327"/>
        <v>0</v>
      </c>
      <c r="U498" s="42">
        <f t="shared" si="328"/>
        <v>0</v>
      </c>
    </row>
    <row r="499" spans="1:21" ht="18.75" x14ac:dyDescent="0.25">
      <c r="A499" s="142"/>
      <c r="B499" s="170"/>
      <c r="C499" s="170"/>
      <c r="D499" s="170"/>
      <c r="E499" s="43" t="s">
        <v>21</v>
      </c>
      <c r="F499" s="36"/>
      <c r="G499" s="38"/>
      <c r="H499" s="151" t="s">
        <v>14</v>
      </c>
      <c r="I499" s="149"/>
      <c r="J499" s="149"/>
      <c r="K499" s="150"/>
      <c r="L499" s="42">
        <f ca="1">IFERROR(__xludf.DUMMYFUNCTION("IMPORTRANGE(""https://docs.google.com/spreadsheets/d/12pGRKgvn2b31Uz_fjAl3XPzZUM_F2_O-zAHL2XHEPZg/edit?usp=sharing"",""รวมเหนือ!L501"")+IMPORTRANGE(""https://docs.google.com/spreadsheets/d/1c0UfJUA6nE6esVMy0kRcX_PENtt96DMxicQpqi3tips/edit?usp=sharing"","""&amp;"รวมตะวันออกเฉียงเหนือ!L501"")+IMPORTRANGE(""https://docs.google.com/spreadsheets/d/1iNWbYmj0agxPDl_yJgGu1eIremFPVMUuMWUKAjBzvrk/edit?usp=sharing"",""รวมกลาง!L501"")+IMPORTRANGE(""https://docs.google.com/spreadsheets/d/1uenpWDAH2bchvfvsSIjpd4bRU5D1faxJOaE3"&amp;"4GQM5-c/edit?usp=sharing"",""รวมใต้!L501"")"),0)</f>
        <v>0</v>
      </c>
      <c r="M499" s="42">
        <f ca="1">IFERROR(__xludf.DUMMYFUNCTION("IMPORTRANGE(""https://docs.google.com/spreadsheets/d/12pGRKgvn2b31Uz_fjAl3XPzZUM_F2_O-zAHL2XHEPZg/edit?usp=sharing"",""รวมเหนือ!M501"")+IMPORTRANGE(""https://docs.google.com/spreadsheets/d/1c0UfJUA6nE6esVMy0kRcX_PENtt96DMxicQpqi3tips/edit?usp=sharing"","""&amp;"รวมตะวันออกเฉียงเหนือ!M501"")+IMPORTRANGE(""https://docs.google.com/spreadsheets/d/1iNWbYmj0agxPDl_yJgGu1eIremFPVMUuMWUKAjBzvrk/edit?usp=sharing"",""รวมกลาง!M501"")+IMPORTRANGE(""https://docs.google.com/spreadsheets/d/1uenpWDAH2bchvfvsSIjpd4bRU5D1faxJOaE3"&amp;"4GQM5-c/edit?usp=sharing"",""รวมใต้!M501"")"),0)</f>
        <v>0</v>
      </c>
      <c r="N499" s="42">
        <f ca="1">IFERROR(__xludf.DUMMYFUNCTION("IMPORTRANGE(""https://docs.google.com/spreadsheets/d/12pGRKgvn2b31Uz_fjAl3XPzZUM_F2_O-zAHL2XHEPZg/edit?usp=sharing"",""รวมเหนือ!N501"")+IMPORTRANGE(""https://docs.google.com/spreadsheets/d/1c0UfJUA6nE6esVMy0kRcX_PENtt96DMxicQpqi3tips/edit?usp=sharing"","""&amp;"รวมตะวันออกเฉียงเหนือ!N501"")+IMPORTRANGE(""https://docs.google.com/spreadsheets/d/1iNWbYmj0agxPDl_yJgGu1eIremFPVMUuMWUKAjBzvrk/edit?usp=sharing"",""รวมกลาง!N501"")+IMPORTRANGE(""https://docs.google.com/spreadsheets/d/1uenpWDAH2bchvfvsSIjpd4bRU5D1faxJOaE3"&amp;"4GQM5-c/edit?usp=sharing"",""รวมใต้!N501"")"),0)</f>
        <v>0</v>
      </c>
      <c r="O499" s="42">
        <f t="shared" ca="1" si="324"/>
        <v>0</v>
      </c>
      <c r="P499" s="42">
        <f t="shared" ca="1" si="325"/>
        <v>0</v>
      </c>
      <c r="Q499" s="42">
        <f ca="1">IFERROR(__xludf.DUMMYFUNCTION("IMPORTRANGE(""https://docs.google.com/spreadsheets/d/12pGRKgvn2b31Uz_fjAl3XPzZUM_F2_O-zAHL2XHEPZg/edit?usp=sharing"",""รวมเหนือ!Q501"")+IMPORTRANGE(""https://docs.google.com/spreadsheets/d/1c0UfJUA6nE6esVMy0kRcX_PENtt96DMxicQpqi3tips/edit?usp=sharing"","""&amp;"รวมตะวันออกเฉียงเหนือ!Q501"")+IMPORTRANGE(""https://docs.google.com/spreadsheets/d/1iNWbYmj0agxPDl_yJgGu1eIremFPVMUuMWUKAjBzvrk/edit?usp=sharing"",""รวมกลาง!Q501"")+IMPORTRANGE(""https://docs.google.com/spreadsheets/d/1uenpWDAH2bchvfvsSIjpd4bRU5D1faxJOaE3"&amp;"4GQM5-c/edit?usp=sharing"",""รวมใต้!Q501"")"),0)</f>
        <v>0</v>
      </c>
      <c r="R499" s="42">
        <f ca="1">IFERROR(__xludf.DUMMYFUNCTION("IMPORTRANGE(""https://docs.google.com/spreadsheets/d/12pGRKgvn2b31Uz_fjAl3XPzZUM_F2_O-zAHL2XHEPZg/edit?usp=sharing"",""รวมเหนือ!R501"")+IMPORTRANGE(""https://docs.google.com/spreadsheets/d/1c0UfJUA6nE6esVMy0kRcX_PENtt96DMxicQpqi3tips/edit?usp=sharing"","""&amp;"รวมตะวันออกเฉียงเหนือ!R501"")+IMPORTRANGE(""https://docs.google.com/spreadsheets/d/1iNWbYmj0agxPDl_yJgGu1eIremFPVMUuMWUKAjBzvrk/edit?usp=sharing"",""รวมกลาง!R501"")+IMPORTRANGE(""https://docs.google.com/spreadsheets/d/1uenpWDAH2bchvfvsSIjpd4bRU5D1faxJOaE3"&amp;"4GQM5-c/edit?usp=sharing"",""รวมใต้!R501"")"),0)</f>
        <v>0</v>
      </c>
      <c r="S499" s="42">
        <f ca="1">IFERROR(__xludf.DUMMYFUNCTION("IMPORTRANGE(""https://docs.google.com/spreadsheets/d/12pGRKgvn2b31Uz_fjAl3XPzZUM_F2_O-zAHL2XHEPZg/edit?usp=sharing"",""รวมเหนือ!S501"")+IMPORTRANGE(""https://docs.google.com/spreadsheets/d/1c0UfJUA6nE6esVMy0kRcX_PENtt96DMxicQpqi3tips/edit?usp=sharing"","""&amp;"รวมตะวันออกเฉียงเหนือ!S501"")+IMPORTRANGE(""https://docs.google.com/spreadsheets/d/1iNWbYmj0agxPDl_yJgGu1eIremFPVMUuMWUKAjBzvrk/edit?usp=sharing"",""รวมกลาง!S501"")+IMPORTRANGE(""https://docs.google.com/spreadsheets/d/1uenpWDAH2bchvfvsSIjpd4bRU5D1faxJOaE3"&amp;"4GQM5-c/edit?usp=sharing"",""รวมใต้!S501"")"),0)</f>
        <v>0</v>
      </c>
      <c r="T499" s="42">
        <f t="shared" ca="1" si="327"/>
        <v>0</v>
      </c>
      <c r="U499" s="42">
        <f t="shared" ca="1" si="328"/>
        <v>0</v>
      </c>
    </row>
    <row r="500" spans="1:21" ht="19.5" x14ac:dyDescent="0.3">
      <c r="A500" s="152"/>
      <c r="B500" s="153"/>
      <c r="C500" s="143" t="s">
        <v>18</v>
      </c>
      <c r="D500" s="327" t="s">
        <v>38</v>
      </c>
      <c r="E500" s="155"/>
      <c r="F500" s="155"/>
      <c r="G500" s="156"/>
      <c r="H500" s="185"/>
      <c r="I500" s="149"/>
      <c r="J500" s="149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</row>
    <row r="501" spans="1:21" ht="19.5" x14ac:dyDescent="0.3">
      <c r="A501" s="213"/>
      <c r="B501" s="170"/>
      <c r="C501" s="170"/>
      <c r="D501" s="351" t="s">
        <v>206</v>
      </c>
      <c r="E501" s="36"/>
      <c r="F501" s="36"/>
      <c r="G501" s="38"/>
      <c r="H501" s="145" t="s">
        <v>35</v>
      </c>
      <c r="I501" s="161">
        <f ca="1">IFERROR(__xludf.DUMMYFUNCTION("IMPORTRANGE(""https://docs.google.com/spreadsheets/d/12pGRKgvn2b31Uz_fjAl3XPzZUM_F2_O-zAHL2XHEPZg/edit?usp=sharing"",""รวมเหนือ!I503"")+IMPORTRANGE(""https://docs.google.com/spreadsheets/d/1c0UfJUA6nE6esVMy0kRcX_PENtt96DMxicQpqi3tips/edit?usp=sharing"","""&amp;"รวมตะวันออกเฉียงเหนือ!I503"")+IMPORTRANGE(""https://docs.google.com/spreadsheets/d/1iNWbYmj0agxPDl_yJgGu1eIremFPVMUuMWUKAjBzvrk/edit?usp=sharing"",""รวมกลาง!I503"")+IMPORTRANGE(""https://docs.google.com/spreadsheets/d/1uenpWDAH2bchvfvsSIjpd4bRU5D1faxJOaE3"&amp;"4GQM5-c/edit?usp=sharing"",""รวมใต้!I503"")"),500)</f>
        <v>500</v>
      </c>
      <c r="J501" s="161">
        <f ca="1">IFERROR(__xludf.DUMMYFUNCTION("IMPORTRANGE(""https://docs.google.com/spreadsheets/d/12pGRKgvn2b31Uz_fjAl3XPzZUM_F2_O-zAHL2XHEPZg/edit?usp=sharing"",""รวมเหนือ!J503"")+IMPORTRANGE(""https://docs.google.com/spreadsheets/d/1c0UfJUA6nE6esVMy0kRcX_PENtt96DMxicQpqi3tips/edit?usp=sharing"","""&amp;"รวมตะวันออกเฉียงเหนือ!J503"")+IMPORTRANGE(""https://docs.google.com/spreadsheets/d/1iNWbYmj0agxPDl_yJgGu1eIremFPVMUuMWUKAjBzvrk/edit?usp=sharing"",""รวมกลาง!J503"")+IMPORTRANGE(""https://docs.google.com/spreadsheets/d/1uenpWDAH2bchvfvsSIjpd4bRU5D1faxJOaE3"&amp;"4GQM5-c/edit?usp=sharing"",""รวมใต้!J503"")"),500)</f>
        <v>500</v>
      </c>
      <c r="K501" s="146">
        <f t="shared" ref="K501:K507" ca="1" si="335">IF(I501&gt;0,J501*100/I501,0)</f>
        <v>100</v>
      </c>
      <c r="L501" s="41"/>
      <c r="M501" s="41"/>
      <c r="N501" s="41"/>
      <c r="O501" s="41"/>
      <c r="P501" s="41"/>
      <c r="Q501" s="41"/>
      <c r="R501" s="41"/>
      <c r="S501" s="41"/>
      <c r="T501" s="41"/>
      <c r="U501" s="41"/>
    </row>
    <row r="502" spans="1:21" ht="18.75" x14ac:dyDescent="0.25">
      <c r="A502" s="213"/>
      <c r="B502" s="170"/>
      <c r="C502" s="170"/>
      <c r="D502" s="170"/>
      <c r="E502" s="43" t="s">
        <v>207</v>
      </c>
      <c r="F502" s="36"/>
      <c r="G502" s="38"/>
      <c r="H502" s="147" t="s">
        <v>35</v>
      </c>
      <c r="I502" s="176">
        <f ca="1">IFERROR(__xludf.DUMMYFUNCTION("IMPORTRANGE(""https://docs.google.com/spreadsheets/d/12pGRKgvn2b31Uz_fjAl3XPzZUM_F2_O-zAHL2XHEPZg/edit?usp=sharing"",""รวมเหนือ!I504"")+IMPORTRANGE(""https://docs.google.com/spreadsheets/d/1c0UfJUA6nE6esVMy0kRcX_PENtt96DMxicQpqi3tips/edit?usp=sharing"","""&amp;"รวมตะวันออกเฉียงเหนือ!I504"")+IMPORTRANGE(""https://docs.google.com/spreadsheets/d/1iNWbYmj0agxPDl_yJgGu1eIremFPVMUuMWUKAjBzvrk/edit?usp=sharing"",""รวมกลาง!I504"")+IMPORTRANGE(""https://docs.google.com/spreadsheets/d/1uenpWDAH2bchvfvsSIjpd4bRU5D1faxJOaE3"&amp;"4GQM5-c/edit?usp=sharing"",""รวมใต้!I504"")"),500)</f>
        <v>500</v>
      </c>
      <c r="J502" s="176">
        <f ca="1">IFERROR(__xludf.DUMMYFUNCTION("IMPORTRANGE(""https://docs.google.com/spreadsheets/d/12pGRKgvn2b31Uz_fjAl3XPzZUM_F2_O-zAHL2XHEPZg/edit?usp=sharing"",""รวมเหนือ!J504"")+IMPORTRANGE(""https://docs.google.com/spreadsheets/d/1c0UfJUA6nE6esVMy0kRcX_PENtt96DMxicQpqi3tips/edit?usp=sharing"","""&amp;"รวมตะวันออกเฉียงเหนือ!J504"")+IMPORTRANGE(""https://docs.google.com/spreadsheets/d/1iNWbYmj0agxPDl_yJgGu1eIremFPVMUuMWUKAjBzvrk/edit?usp=sharing"",""รวมกลาง!J504"")+IMPORTRANGE(""https://docs.google.com/spreadsheets/d/1uenpWDAH2bchvfvsSIjpd4bRU5D1faxJOaE3"&amp;"4GQM5-c/edit?usp=sharing"",""รวมใต้!J504"")"),500)</f>
        <v>500</v>
      </c>
      <c r="K502" s="42">
        <f t="shared" ca="1" si="335"/>
        <v>100</v>
      </c>
      <c r="L502" s="41"/>
      <c r="M502" s="41"/>
      <c r="N502" s="41"/>
      <c r="O502" s="41"/>
      <c r="P502" s="41"/>
      <c r="Q502" s="41"/>
      <c r="R502" s="41"/>
      <c r="S502" s="41"/>
      <c r="T502" s="41"/>
      <c r="U502" s="41"/>
    </row>
    <row r="503" spans="1:21" ht="18.75" x14ac:dyDescent="0.25">
      <c r="A503" s="213"/>
      <c r="B503" s="170"/>
      <c r="C503" s="170"/>
      <c r="D503" s="170"/>
      <c r="E503" s="43" t="s">
        <v>208</v>
      </c>
      <c r="F503" s="36"/>
      <c r="G503" s="38"/>
      <c r="H503" s="147" t="s">
        <v>35</v>
      </c>
      <c r="I503" s="176">
        <f ca="1">IFERROR(__xludf.DUMMYFUNCTION("IMPORTRANGE(""https://docs.google.com/spreadsheets/d/12pGRKgvn2b31Uz_fjAl3XPzZUM_F2_O-zAHL2XHEPZg/edit?usp=sharing"",""รวมเหนือ!I505"")+IMPORTRANGE(""https://docs.google.com/spreadsheets/d/1c0UfJUA6nE6esVMy0kRcX_PENtt96DMxicQpqi3tips/edit?usp=sharing"","""&amp;"รวมตะวันออกเฉียงเหนือ!I505"")+IMPORTRANGE(""https://docs.google.com/spreadsheets/d/1iNWbYmj0agxPDl_yJgGu1eIremFPVMUuMWUKAjBzvrk/edit?usp=sharing"",""รวมกลาง!I505"")+IMPORTRANGE(""https://docs.google.com/spreadsheets/d/1uenpWDAH2bchvfvsSIjpd4bRU5D1faxJOaE3"&amp;"4GQM5-c/edit?usp=sharing"",""รวมใต้!I505"")"),500)</f>
        <v>500</v>
      </c>
      <c r="J503" s="176">
        <f ca="1">IFERROR(__xludf.DUMMYFUNCTION("IMPORTRANGE(""https://docs.google.com/spreadsheets/d/12pGRKgvn2b31Uz_fjAl3XPzZUM_F2_O-zAHL2XHEPZg/edit?usp=sharing"",""รวมเหนือ!J505"")+IMPORTRANGE(""https://docs.google.com/spreadsheets/d/1c0UfJUA6nE6esVMy0kRcX_PENtt96DMxicQpqi3tips/edit?usp=sharing"","""&amp;"รวมตะวันออกเฉียงเหนือ!J505"")+IMPORTRANGE(""https://docs.google.com/spreadsheets/d/1iNWbYmj0agxPDl_yJgGu1eIremFPVMUuMWUKAjBzvrk/edit?usp=sharing"",""รวมกลาง!J505"")+IMPORTRANGE(""https://docs.google.com/spreadsheets/d/1uenpWDAH2bchvfvsSIjpd4bRU5D1faxJOaE3"&amp;"4GQM5-c/edit?usp=sharing"",""รวมใต้!J505"")"),499)</f>
        <v>499</v>
      </c>
      <c r="K503" s="42">
        <f t="shared" ca="1" si="335"/>
        <v>99.8</v>
      </c>
      <c r="L503" s="41"/>
      <c r="M503" s="41"/>
      <c r="N503" s="41"/>
      <c r="O503" s="41"/>
      <c r="P503" s="41"/>
      <c r="Q503" s="41"/>
      <c r="R503" s="41"/>
      <c r="S503" s="41"/>
      <c r="T503" s="41"/>
      <c r="U503" s="41"/>
    </row>
    <row r="504" spans="1:21" ht="18.75" x14ac:dyDescent="0.25">
      <c r="A504" s="213"/>
      <c r="B504" s="170"/>
      <c r="C504" s="170"/>
      <c r="D504" s="170"/>
      <c r="E504" s="43" t="s">
        <v>209</v>
      </c>
      <c r="F504" s="36"/>
      <c r="G504" s="38"/>
      <c r="H504" s="147" t="s">
        <v>35</v>
      </c>
      <c r="I504" s="176">
        <f ca="1">IFERROR(__xludf.DUMMYFUNCTION("IMPORTRANGE(""https://docs.google.com/spreadsheets/d/12pGRKgvn2b31Uz_fjAl3XPzZUM_F2_O-zAHL2XHEPZg/edit?usp=sharing"",""รวมเหนือ!I506"")+IMPORTRANGE(""https://docs.google.com/spreadsheets/d/1c0UfJUA6nE6esVMy0kRcX_PENtt96DMxicQpqi3tips/edit?usp=sharing"","""&amp;"รวมตะวันออกเฉียงเหนือ!I506"")+IMPORTRANGE(""https://docs.google.com/spreadsheets/d/1iNWbYmj0agxPDl_yJgGu1eIremFPVMUuMWUKAjBzvrk/edit?usp=sharing"",""รวมกลาง!I506"")+IMPORTRANGE(""https://docs.google.com/spreadsheets/d/1uenpWDAH2bchvfvsSIjpd4bRU5D1faxJOaE3"&amp;"4GQM5-c/edit?usp=sharing"",""รวมใต้!I506"")"),500)</f>
        <v>500</v>
      </c>
      <c r="J504" s="176">
        <f ca="1">IFERROR(__xludf.DUMMYFUNCTION("IMPORTRANGE(""https://docs.google.com/spreadsheets/d/12pGRKgvn2b31Uz_fjAl3XPzZUM_F2_O-zAHL2XHEPZg/edit?usp=sharing"",""รวมเหนือ!J506"")+IMPORTRANGE(""https://docs.google.com/spreadsheets/d/1c0UfJUA6nE6esVMy0kRcX_PENtt96DMxicQpqi3tips/edit?usp=sharing"","""&amp;"รวมตะวันออกเฉียงเหนือ!J506"")+IMPORTRANGE(""https://docs.google.com/spreadsheets/d/1iNWbYmj0agxPDl_yJgGu1eIremFPVMUuMWUKAjBzvrk/edit?usp=sharing"",""รวมกลาง!J506"")+IMPORTRANGE(""https://docs.google.com/spreadsheets/d/1uenpWDAH2bchvfvsSIjpd4bRU5D1faxJOaE3"&amp;"4GQM5-c/edit?usp=sharing"",""รวมใต้!J506"")"),500)</f>
        <v>500</v>
      </c>
      <c r="K504" s="42">
        <f t="shared" ca="1" si="335"/>
        <v>100</v>
      </c>
      <c r="L504" s="41"/>
      <c r="M504" s="41"/>
      <c r="N504" s="41"/>
      <c r="O504" s="41"/>
      <c r="P504" s="41"/>
      <c r="Q504" s="41"/>
      <c r="R504" s="41"/>
      <c r="S504" s="41"/>
      <c r="T504" s="41"/>
      <c r="U504" s="41"/>
    </row>
    <row r="505" spans="1:21" ht="18.75" x14ac:dyDescent="0.25">
      <c r="A505" s="213"/>
      <c r="B505" s="170"/>
      <c r="C505" s="170"/>
      <c r="D505" s="170"/>
      <c r="E505" s="358" t="s">
        <v>210</v>
      </c>
      <c r="F505" s="36"/>
      <c r="G505" s="38"/>
      <c r="H505" s="147" t="s">
        <v>35</v>
      </c>
      <c r="I505" s="176">
        <f ca="1">IFERROR(__xludf.DUMMYFUNCTION("IMPORTRANGE(""https://docs.google.com/spreadsheets/d/12pGRKgvn2b31Uz_fjAl3XPzZUM_F2_O-zAHL2XHEPZg/edit?usp=sharing"",""รวมเหนือ!I507"")+IMPORTRANGE(""https://docs.google.com/spreadsheets/d/1c0UfJUA6nE6esVMy0kRcX_PENtt96DMxicQpqi3tips/edit?usp=sharing"","""&amp;"รวมตะวันออกเฉียงเหนือ!I507"")+IMPORTRANGE(""https://docs.google.com/spreadsheets/d/1iNWbYmj0agxPDl_yJgGu1eIremFPVMUuMWUKAjBzvrk/edit?usp=sharing"",""รวมกลาง!I507"")+IMPORTRANGE(""https://docs.google.com/spreadsheets/d/1uenpWDAH2bchvfvsSIjpd4bRU5D1faxJOaE3"&amp;"4GQM5-c/edit?usp=sharing"",""รวมใต้!I507"")"),160)</f>
        <v>160</v>
      </c>
      <c r="J505" s="176">
        <f ca="1">IFERROR(__xludf.DUMMYFUNCTION("IMPORTRANGE(""https://docs.google.com/spreadsheets/d/12pGRKgvn2b31Uz_fjAl3XPzZUM_F2_O-zAHL2XHEPZg/edit?usp=sharing"",""รวมเหนือ!J507"")+IMPORTRANGE(""https://docs.google.com/spreadsheets/d/1c0UfJUA6nE6esVMy0kRcX_PENtt96DMxicQpqi3tips/edit?usp=sharing"","""&amp;"รวมตะวันออกเฉียงเหนือ!J507"")+IMPORTRANGE(""https://docs.google.com/spreadsheets/d/1iNWbYmj0agxPDl_yJgGu1eIremFPVMUuMWUKAjBzvrk/edit?usp=sharing"",""รวมกลาง!J507"")+IMPORTRANGE(""https://docs.google.com/spreadsheets/d/1uenpWDAH2bchvfvsSIjpd4bRU5D1faxJOaE3"&amp;"4GQM5-c/edit?usp=sharing"",""รวมใต้!J507"")"),160)</f>
        <v>160</v>
      </c>
      <c r="K505" s="42">
        <f t="shared" ca="1" si="335"/>
        <v>100</v>
      </c>
      <c r="L505" s="41"/>
      <c r="M505" s="41"/>
      <c r="N505" s="41"/>
      <c r="O505" s="41"/>
      <c r="P505" s="41"/>
      <c r="Q505" s="41"/>
      <c r="R505" s="41"/>
      <c r="S505" s="41"/>
      <c r="T505" s="41"/>
      <c r="U505" s="41"/>
    </row>
    <row r="506" spans="1:21" ht="18.75" x14ac:dyDescent="0.25">
      <c r="A506" s="213"/>
      <c r="B506" s="170"/>
      <c r="C506" s="170"/>
      <c r="D506" s="170"/>
      <c r="E506" s="43" t="s">
        <v>211</v>
      </c>
      <c r="F506" s="36"/>
      <c r="G506" s="38"/>
      <c r="H506" s="147" t="s">
        <v>35</v>
      </c>
      <c r="I506" s="176">
        <v>0</v>
      </c>
      <c r="J506" s="176">
        <v>0</v>
      </c>
      <c r="K506" s="42">
        <f t="shared" si="335"/>
        <v>0</v>
      </c>
      <c r="L506" s="41"/>
      <c r="M506" s="41"/>
      <c r="N506" s="41"/>
      <c r="O506" s="41"/>
      <c r="P506" s="41"/>
      <c r="Q506" s="41"/>
      <c r="R506" s="41"/>
      <c r="S506" s="41"/>
      <c r="T506" s="41"/>
      <c r="U506" s="41"/>
    </row>
    <row r="507" spans="1:21" ht="19.5" x14ac:dyDescent="0.3">
      <c r="A507" s="321"/>
      <c r="B507" s="322"/>
      <c r="C507" s="322"/>
      <c r="D507" s="359" t="s">
        <v>50</v>
      </c>
      <c r="E507" s="47"/>
      <c r="F507" s="47"/>
      <c r="G507" s="49"/>
      <c r="H507" s="357" t="s">
        <v>35</v>
      </c>
      <c r="I507" s="193">
        <f ca="1">IFERROR(__xludf.DUMMYFUNCTION("IMPORTRANGE(""https://docs.google.com/spreadsheets/d/12pGRKgvn2b31Uz_fjAl3XPzZUM_F2_O-zAHL2XHEPZg/edit?usp=sharing"",""รวมเหนือ!I509"")+IMPORTRANGE(""https://docs.google.com/spreadsheets/d/1c0UfJUA6nE6esVMy0kRcX_PENtt96DMxicQpqi3tips/edit?usp=sharing"","""&amp;"รวมตะวันออกเฉียงเหนือ!I509"")+IMPORTRANGE(""https://docs.google.com/spreadsheets/d/1iNWbYmj0agxPDl_yJgGu1eIremFPVMUuMWUKAjBzvrk/edit?usp=sharing"",""รวมกลาง!I509"")+IMPORTRANGE(""https://docs.google.com/spreadsheets/d/1uenpWDAH2bchvfvsSIjpd4bRU5D1faxJOaE3"&amp;"4GQM5-c/edit?usp=sharing"",""รวมใต้!I509"")"),500)</f>
        <v>500</v>
      </c>
      <c r="J507" s="193">
        <f ca="1">IFERROR(__xludf.DUMMYFUNCTION("IMPORTRANGE(""https://docs.google.com/spreadsheets/d/12pGRKgvn2b31Uz_fjAl3XPzZUM_F2_O-zAHL2XHEPZg/edit?usp=sharing"",""รวมเหนือ!J509"")+IMPORTRANGE(""https://docs.google.com/spreadsheets/d/1c0UfJUA6nE6esVMy0kRcX_PENtt96DMxicQpqi3tips/edit?usp=sharing"","""&amp;"รวมตะวันออกเฉียงเหนือ!J509"")+IMPORTRANGE(""https://docs.google.com/spreadsheets/d/1iNWbYmj0agxPDl_yJgGu1eIremFPVMUuMWUKAjBzvrk/edit?usp=sharing"",""รวมกลาง!J509"")+IMPORTRANGE(""https://docs.google.com/spreadsheets/d/1uenpWDAH2bchvfvsSIjpd4bRU5D1faxJOaE3"&amp;"4GQM5-c/edit?usp=sharing"",""รวมใต้!J509"")"),500)</f>
        <v>500</v>
      </c>
      <c r="K507" s="124">
        <f t="shared" ca="1" si="335"/>
        <v>100</v>
      </c>
      <c r="L507" s="52"/>
      <c r="M507" s="52"/>
      <c r="N507" s="52"/>
      <c r="O507" s="52"/>
      <c r="P507" s="52"/>
      <c r="Q507" s="52"/>
      <c r="R507" s="52"/>
      <c r="S507" s="52"/>
      <c r="T507" s="52"/>
      <c r="U507" s="52"/>
    </row>
    <row r="508" spans="1:21" ht="19.5" x14ac:dyDescent="0.3">
      <c r="A508" s="360" t="s">
        <v>212</v>
      </c>
      <c r="B508" s="361"/>
      <c r="C508" s="361"/>
      <c r="D508" s="361"/>
      <c r="E508" s="362"/>
      <c r="F508" s="362"/>
      <c r="G508" s="362"/>
      <c r="H508" s="362"/>
      <c r="I508" s="363"/>
      <c r="J508" s="363"/>
      <c r="K508" s="364"/>
      <c r="L508" s="364"/>
      <c r="M508" s="364"/>
      <c r="N508" s="364"/>
      <c r="O508" s="364"/>
      <c r="P508" s="365"/>
      <c r="Q508" s="364"/>
      <c r="R508" s="364"/>
      <c r="S508" s="364"/>
      <c r="T508" s="365"/>
      <c r="U508" s="365"/>
    </row>
    <row r="509" spans="1:21" ht="19.5" x14ac:dyDescent="0.3">
      <c r="A509" s="366" t="s">
        <v>213</v>
      </c>
      <c r="B509" s="367"/>
      <c r="C509" s="367"/>
      <c r="D509" s="368"/>
      <c r="E509" s="367"/>
      <c r="F509" s="367"/>
      <c r="G509" s="367"/>
      <c r="H509" s="369"/>
      <c r="I509" s="370"/>
      <c r="J509" s="370"/>
      <c r="K509" s="371"/>
      <c r="L509" s="371"/>
      <c r="M509" s="371"/>
      <c r="N509" s="371"/>
      <c r="O509" s="371"/>
      <c r="P509" s="371"/>
      <c r="Q509" s="371"/>
      <c r="R509" s="371"/>
      <c r="S509" s="371"/>
      <c r="T509" s="371"/>
      <c r="U509" s="371"/>
    </row>
    <row r="510" spans="1:21" ht="19.5" x14ac:dyDescent="0.3">
      <c r="A510" s="372"/>
      <c r="B510" s="373" t="s">
        <v>214</v>
      </c>
      <c r="C510" s="374"/>
      <c r="D510" s="375"/>
      <c r="E510" s="375"/>
      <c r="F510" s="375"/>
      <c r="G510" s="376"/>
      <c r="H510" s="377" t="s">
        <v>61</v>
      </c>
      <c r="I510" s="378">
        <f t="shared" ref="I510:J510" ca="1" si="336">I522</f>
        <v>1</v>
      </c>
      <c r="J510" s="378">
        <f t="shared" ca="1" si="336"/>
        <v>0</v>
      </c>
      <c r="K510" s="379">
        <f ca="1">IF(I510&gt;0,J510*100/I510,0)</f>
        <v>0</v>
      </c>
      <c r="L510" s="380"/>
      <c r="M510" s="380"/>
      <c r="N510" s="380"/>
      <c r="O510" s="380"/>
      <c r="P510" s="380"/>
      <c r="Q510" s="380"/>
      <c r="R510" s="380"/>
      <c r="S510" s="380"/>
      <c r="T510" s="381"/>
      <c r="U510" s="381"/>
    </row>
    <row r="511" spans="1:21" ht="19.5" x14ac:dyDescent="0.3">
      <c r="A511" s="142"/>
      <c r="B511" s="36"/>
      <c r="C511" s="143" t="s">
        <v>18</v>
      </c>
      <c r="D511" s="144" t="s">
        <v>19</v>
      </c>
      <c r="E511" s="36"/>
      <c r="F511" s="36"/>
      <c r="G511" s="38"/>
      <c r="H511" s="145" t="s">
        <v>14</v>
      </c>
      <c r="I511" s="40"/>
      <c r="J511" s="40"/>
      <c r="K511" s="41"/>
      <c r="L511" s="146">
        <f t="shared" ref="L511:N511" ca="1" si="337">L512+L513</f>
        <v>33423500</v>
      </c>
      <c r="M511" s="146">
        <f t="shared" ca="1" si="337"/>
        <v>33423500</v>
      </c>
      <c r="N511" s="146">
        <f t="shared" ca="1" si="337"/>
        <v>33423500</v>
      </c>
      <c r="O511" s="146">
        <f t="shared" ref="O511:O519" ca="1" si="338">IF(L511&gt;0,N511*100/L511,0)</f>
        <v>100</v>
      </c>
      <c r="P511" s="146">
        <f t="shared" ref="P511:P519" ca="1" si="339">IF(M511&gt;0,N511*100/M511,0)</f>
        <v>100</v>
      </c>
      <c r="Q511" s="146">
        <f t="shared" ref="Q511:S511" si="340">Q512+Q513</f>
        <v>0</v>
      </c>
      <c r="R511" s="146">
        <f t="shared" si="340"/>
        <v>0</v>
      </c>
      <c r="S511" s="146">
        <f t="shared" si="340"/>
        <v>0</v>
      </c>
      <c r="T511" s="146">
        <f t="shared" ref="T511:T514" si="341">IF(Q511&gt;0,S511*100/Q511,0)</f>
        <v>0</v>
      </c>
      <c r="U511" s="146">
        <f t="shared" ref="U511:U514" si="342">IF(R511&gt;0,S511*100/R511,0)</f>
        <v>0</v>
      </c>
    </row>
    <row r="512" spans="1:21" ht="18.75" x14ac:dyDescent="0.25">
      <c r="A512" s="142"/>
      <c r="B512" s="36"/>
      <c r="C512" s="36"/>
      <c r="D512" s="36"/>
      <c r="E512" s="43" t="s">
        <v>20</v>
      </c>
      <c r="F512" s="36"/>
      <c r="G512" s="38"/>
      <c r="H512" s="147" t="s">
        <v>14</v>
      </c>
      <c r="I512" s="40"/>
      <c r="J512" s="40"/>
      <c r="K512" s="41"/>
      <c r="L512" s="42">
        <f t="shared" ref="L512:N512" ca="1" si="343">L515+L518</f>
        <v>0</v>
      </c>
      <c r="M512" s="42">
        <f t="shared" ca="1" si="343"/>
        <v>0</v>
      </c>
      <c r="N512" s="42">
        <f t="shared" ca="1" si="343"/>
        <v>0</v>
      </c>
      <c r="O512" s="42">
        <f t="shared" ca="1" si="338"/>
        <v>0</v>
      </c>
      <c r="P512" s="42">
        <f t="shared" ca="1" si="339"/>
        <v>0</v>
      </c>
      <c r="Q512" s="42">
        <f t="shared" ref="Q512:S512" si="344">Q515+Q518</f>
        <v>0</v>
      </c>
      <c r="R512" s="42">
        <f t="shared" si="344"/>
        <v>0</v>
      </c>
      <c r="S512" s="42">
        <f t="shared" si="344"/>
        <v>0</v>
      </c>
      <c r="T512" s="42">
        <f t="shared" si="341"/>
        <v>0</v>
      </c>
      <c r="U512" s="42">
        <f t="shared" si="342"/>
        <v>0</v>
      </c>
    </row>
    <row r="513" spans="1:21" ht="18.75" x14ac:dyDescent="0.25">
      <c r="A513" s="142"/>
      <c r="B513" s="36"/>
      <c r="C513" s="36"/>
      <c r="D513" s="36"/>
      <c r="E513" s="43" t="s">
        <v>21</v>
      </c>
      <c r="F513" s="36"/>
      <c r="G513" s="38"/>
      <c r="H513" s="147" t="s">
        <v>14</v>
      </c>
      <c r="I513" s="40"/>
      <c r="J513" s="40"/>
      <c r="K513" s="41"/>
      <c r="L513" s="42">
        <f t="shared" ref="L513:N513" ca="1" si="345">L516+L519</f>
        <v>33423500</v>
      </c>
      <c r="M513" s="42">
        <f t="shared" ca="1" si="345"/>
        <v>33423500</v>
      </c>
      <c r="N513" s="42">
        <f t="shared" ca="1" si="345"/>
        <v>33423500</v>
      </c>
      <c r="O513" s="42">
        <f t="shared" ca="1" si="338"/>
        <v>100</v>
      </c>
      <c r="P513" s="42">
        <f t="shared" ca="1" si="339"/>
        <v>100</v>
      </c>
      <c r="Q513" s="42">
        <f t="shared" ref="Q513:S513" si="346">Q516+Q519</f>
        <v>0</v>
      </c>
      <c r="R513" s="42">
        <f t="shared" si="346"/>
        <v>0</v>
      </c>
      <c r="S513" s="42">
        <f t="shared" si="346"/>
        <v>0</v>
      </c>
      <c r="T513" s="42">
        <f t="shared" si="341"/>
        <v>0</v>
      </c>
      <c r="U513" s="42">
        <f t="shared" si="342"/>
        <v>0</v>
      </c>
    </row>
    <row r="514" spans="1:21" ht="18.75" x14ac:dyDescent="0.25">
      <c r="A514" s="142"/>
      <c r="B514" s="36"/>
      <c r="C514" s="36"/>
      <c r="D514" s="37" t="s">
        <v>22</v>
      </c>
      <c r="E514" s="36"/>
      <c r="F514" s="36"/>
      <c r="G514" s="38"/>
      <c r="H514" s="148" t="s">
        <v>14</v>
      </c>
      <c r="I514" s="149"/>
      <c r="J514" s="149"/>
      <c r="K514" s="150"/>
      <c r="L514" s="42">
        <f t="shared" ref="L514:N514" ca="1" si="347">L515+L516</f>
        <v>0</v>
      </c>
      <c r="M514" s="42">
        <f t="shared" ca="1" si="347"/>
        <v>0</v>
      </c>
      <c r="N514" s="42">
        <f t="shared" ca="1" si="347"/>
        <v>0</v>
      </c>
      <c r="O514" s="42">
        <f t="shared" ca="1" si="338"/>
        <v>0</v>
      </c>
      <c r="P514" s="42">
        <f t="shared" ca="1" si="339"/>
        <v>0</v>
      </c>
      <c r="Q514" s="42">
        <f t="shared" ref="Q514:S514" si="348">Q515+Q516</f>
        <v>0</v>
      </c>
      <c r="R514" s="42">
        <f t="shared" si="348"/>
        <v>0</v>
      </c>
      <c r="S514" s="42">
        <f t="shared" si="348"/>
        <v>0</v>
      </c>
      <c r="T514" s="42">
        <f t="shared" si="341"/>
        <v>0</v>
      </c>
      <c r="U514" s="42">
        <f t="shared" si="342"/>
        <v>0</v>
      </c>
    </row>
    <row r="515" spans="1:21" ht="18.75" x14ac:dyDescent="0.25">
      <c r="A515" s="142"/>
      <c r="B515" s="36"/>
      <c r="C515" s="36"/>
      <c r="D515" s="36"/>
      <c r="E515" s="43" t="s">
        <v>36</v>
      </c>
      <c r="F515" s="36"/>
      <c r="G515" s="38"/>
      <c r="H515" s="148" t="s">
        <v>14</v>
      </c>
      <c r="I515" s="149"/>
      <c r="J515" s="149"/>
      <c r="K515" s="150"/>
      <c r="L515" s="42">
        <f ca="1">IFERROR(__xludf.DUMMYFUNCTION("IMPORTRANGE(""https://docs.google.com/spreadsheets/d/1-uDff_7J0KD5mKrp0Vvzr7lt3OU09vwQwhkpOPPYv2Y/edit?usp=sharing"",""งบพรบ!FM9"")"),0)</f>
        <v>0</v>
      </c>
      <c r="M515" s="42">
        <f ca="1">IFERROR(__xludf.DUMMYFUNCTION("IMPORTRANGE(""https://docs.google.com/spreadsheets/d/1-uDff_7J0KD5mKrp0Vvzr7lt3OU09vwQwhkpOPPYv2Y/edit?usp=sharing"",""งบพรบ!FR9"")"),0)</f>
        <v>0</v>
      </c>
      <c r="N515" s="42">
        <f ca="1">IFERROR(__xludf.DUMMYFUNCTION("IMPORTRANGE(""https://docs.google.com/spreadsheets/d/1-uDff_7J0KD5mKrp0Vvzr7lt3OU09vwQwhkpOPPYv2Y/edit?usp=sharing"",""งบพรบ!FT9"")"),0)</f>
        <v>0</v>
      </c>
      <c r="O515" s="42">
        <f t="shared" ca="1" si="338"/>
        <v>0</v>
      </c>
      <c r="P515" s="42">
        <f t="shared" ca="1" si="339"/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</row>
    <row r="516" spans="1:21" ht="18.75" x14ac:dyDescent="0.25">
      <c r="A516" s="142"/>
      <c r="B516" s="36"/>
      <c r="C516" s="36"/>
      <c r="D516" s="36"/>
      <c r="E516" s="43" t="s">
        <v>37</v>
      </c>
      <c r="F516" s="36"/>
      <c r="G516" s="38"/>
      <c r="H516" s="148" t="s">
        <v>14</v>
      </c>
      <c r="I516" s="149"/>
      <c r="J516" s="149"/>
      <c r="K516" s="150"/>
      <c r="L516" s="42">
        <f ca="1">IFERROR(__xludf.DUMMYFUNCTION("IMPORTRANGE(""https://docs.google.com/spreadsheets/d/12pGRKgvn2b31Uz_fjAl3XPzZUM_F2_O-zAHL2XHEPZg/edit?usp=sharing"",""รวมเหนือ!L518"")+IMPORTRANGE(""https://docs.google.com/spreadsheets/d/1c0UfJUA6nE6esVMy0kRcX_PENtt96DMxicQpqi3tips/edit?usp=sharing"","""&amp;"รวมตะวันออกเฉียงเหนือ!L518"")+IMPORTRANGE(""https://docs.google.com/spreadsheets/d/1iNWbYmj0agxPDl_yJgGu1eIremFPVMUuMWUKAjBzvrk/edit?usp=sharing"",""รวมกลาง!L518"")+IMPORTRANGE(""https://docs.google.com/spreadsheets/d/1uenpWDAH2bchvfvsSIjpd4bRU5D1faxJOaE3"&amp;"4GQM5-c/edit?usp=sharing"",""รวมใต้!L518"")"),0)</f>
        <v>0</v>
      </c>
      <c r="M516" s="42">
        <f ca="1">IFERROR(__xludf.DUMMYFUNCTION("IMPORTRANGE(""https://docs.google.com/spreadsheets/d/12pGRKgvn2b31Uz_fjAl3XPzZUM_F2_O-zAHL2XHEPZg/edit?usp=sharing"",""รวมเหนือ!M518"")+IMPORTRANGE(""https://docs.google.com/spreadsheets/d/1c0UfJUA6nE6esVMy0kRcX_PENtt96DMxicQpqi3tips/edit?usp=sharing"","""&amp;"รวมตะวันออกเฉียงเหนือ!M518"")+IMPORTRANGE(""https://docs.google.com/spreadsheets/d/1iNWbYmj0agxPDl_yJgGu1eIremFPVMUuMWUKAjBzvrk/edit?usp=sharing"",""รวมกลาง!M518"")+IMPORTRANGE(""https://docs.google.com/spreadsheets/d/1uenpWDAH2bchvfvsSIjpd4bRU5D1faxJOaE3"&amp;"4GQM5-c/edit?usp=sharing"",""รวมใต้!M518"")"),0)</f>
        <v>0</v>
      </c>
      <c r="N516" s="42">
        <f ca="1">IFERROR(__xludf.DUMMYFUNCTION("IMPORTRANGE(""https://docs.google.com/spreadsheets/d/12pGRKgvn2b31Uz_fjAl3XPzZUM_F2_O-zAHL2XHEPZg/edit?usp=sharing"",""รวมเหนือ!N518"")+IMPORTRANGE(""https://docs.google.com/spreadsheets/d/1c0UfJUA6nE6esVMy0kRcX_PENtt96DMxicQpqi3tips/edit?usp=sharing"","""&amp;"รวมตะวันออกเฉียงเหนือ!N518"")+IMPORTRANGE(""https://docs.google.com/spreadsheets/d/1iNWbYmj0agxPDl_yJgGu1eIremFPVMUuMWUKAjBzvrk/edit?usp=sharing"",""รวมกลาง!N518"")+IMPORTRANGE(""https://docs.google.com/spreadsheets/d/1uenpWDAH2bchvfvsSIjpd4bRU5D1faxJOaE3"&amp;"4GQM5-c/edit?usp=sharing"",""รวมใต้!N518"")"),0)</f>
        <v>0</v>
      </c>
      <c r="O516" s="42">
        <f t="shared" ca="1" si="338"/>
        <v>0</v>
      </c>
      <c r="P516" s="42">
        <f t="shared" ca="1" si="339"/>
        <v>0</v>
      </c>
      <c r="Q516" s="42">
        <v>0</v>
      </c>
      <c r="R516" s="42">
        <v>0</v>
      </c>
      <c r="S516" s="42">
        <v>0</v>
      </c>
      <c r="T516" s="42">
        <v>0</v>
      </c>
      <c r="U516" s="42">
        <v>0</v>
      </c>
    </row>
    <row r="517" spans="1:21" ht="18.75" x14ac:dyDescent="0.25">
      <c r="A517" s="142"/>
      <c r="B517" s="36"/>
      <c r="C517" s="36"/>
      <c r="D517" s="37" t="s">
        <v>23</v>
      </c>
      <c r="E517" s="36"/>
      <c r="F517" s="36"/>
      <c r="G517" s="38"/>
      <c r="H517" s="151" t="s">
        <v>14</v>
      </c>
      <c r="I517" s="149"/>
      <c r="J517" s="149"/>
      <c r="K517" s="150"/>
      <c r="L517" s="42">
        <f t="shared" ref="L517:N517" ca="1" si="349">L518+L519</f>
        <v>33423500</v>
      </c>
      <c r="M517" s="42">
        <f t="shared" ca="1" si="349"/>
        <v>33423500</v>
      </c>
      <c r="N517" s="42">
        <f t="shared" ca="1" si="349"/>
        <v>33423500</v>
      </c>
      <c r="O517" s="42">
        <f t="shared" ca="1" si="338"/>
        <v>100</v>
      </c>
      <c r="P517" s="42">
        <f t="shared" ca="1" si="339"/>
        <v>100</v>
      </c>
      <c r="Q517" s="42">
        <f t="shared" ref="Q517:S517" si="350">Q518+Q519</f>
        <v>0</v>
      </c>
      <c r="R517" s="42">
        <f t="shared" si="350"/>
        <v>0</v>
      </c>
      <c r="S517" s="42">
        <f t="shared" si="350"/>
        <v>0</v>
      </c>
      <c r="T517" s="42">
        <f>IF(Q517&gt;0,S517*100/Q517,0)</f>
        <v>0</v>
      </c>
      <c r="U517" s="42">
        <f>IF(R517&gt;0,S517*100/R517,0)</f>
        <v>0</v>
      </c>
    </row>
    <row r="518" spans="1:21" ht="18.75" x14ac:dyDescent="0.25">
      <c r="A518" s="142"/>
      <c r="B518" s="36"/>
      <c r="C518" s="36"/>
      <c r="D518" s="36"/>
      <c r="E518" s="43" t="s">
        <v>20</v>
      </c>
      <c r="F518" s="36"/>
      <c r="G518" s="38"/>
      <c r="H518" s="148" t="s">
        <v>14</v>
      </c>
      <c r="I518" s="149"/>
      <c r="J518" s="149"/>
      <c r="K518" s="150"/>
      <c r="L518" s="42">
        <f ca="1">IFERROR(__xludf.DUMMYFUNCTION("IMPORTRANGE(""https://docs.google.com/spreadsheets/d/1-uDff_7J0KD5mKrp0Vvzr7lt3OU09vwQwhkpOPPYv2Y/edit?usp=sharing"",""งบพรบ!FP9"")"),0)</f>
        <v>0</v>
      </c>
      <c r="M518" s="42">
        <f ca="1">IFERROR(__xludf.DUMMYFUNCTION("IMPORTRANGE(""https://docs.google.com/spreadsheets/d/1-uDff_7J0KD5mKrp0Vvzr7lt3OU09vwQwhkpOPPYv2Y/edit?usp=sharing"",""งบพรบ!FS9"")"),0)</f>
        <v>0</v>
      </c>
      <c r="N518" s="42">
        <f ca="1">IFERROR(__xludf.DUMMYFUNCTION("IMPORTRANGE(""https://docs.google.com/spreadsheets/d/1-uDff_7J0KD5mKrp0Vvzr7lt3OU09vwQwhkpOPPYv2Y/edit?usp=sharing"",""งบพรบ!FU9"")"),0)</f>
        <v>0</v>
      </c>
      <c r="O518" s="42">
        <f t="shared" ca="1" si="338"/>
        <v>0</v>
      </c>
      <c r="P518" s="42">
        <f t="shared" ca="1" si="339"/>
        <v>0</v>
      </c>
      <c r="Q518" s="42">
        <v>0</v>
      </c>
      <c r="R518" s="42">
        <v>0</v>
      </c>
      <c r="S518" s="42">
        <v>0</v>
      </c>
      <c r="T518" s="42">
        <v>0</v>
      </c>
      <c r="U518" s="42">
        <v>0</v>
      </c>
    </row>
    <row r="519" spans="1:21" ht="18.75" x14ac:dyDescent="0.25">
      <c r="A519" s="142"/>
      <c r="B519" s="36"/>
      <c r="C519" s="36"/>
      <c r="D519" s="36"/>
      <c r="E519" s="43" t="s">
        <v>21</v>
      </c>
      <c r="F519" s="36"/>
      <c r="G519" s="38"/>
      <c r="H519" s="151" t="s">
        <v>14</v>
      </c>
      <c r="I519" s="149"/>
      <c r="J519" s="149"/>
      <c r="K519" s="150"/>
      <c r="L519" s="42">
        <f ca="1">IFERROR(__xludf.DUMMYFUNCTION("IMPORTRANGE(""https://docs.google.com/spreadsheets/d/12pGRKgvn2b31Uz_fjAl3XPzZUM_F2_O-zAHL2XHEPZg/edit?usp=sharing"",""รวมเหนือ!L521"")+IMPORTRANGE(""https://docs.google.com/spreadsheets/d/1c0UfJUA6nE6esVMy0kRcX_PENtt96DMxicQpqi3tips/edit?usp=sharing"","""&amp;"รวมตะวันออกเฉียงเหนือ!L521"")+IMPORTRANGE(""https://docs.google.com/spreadsheets/d/1iNWbYmj0agxPDl_yJgGu1eIremFPVMUuMWUKAjBzvrk/edit?usp=sharing"",""รวมกลาง!L521"")+IMPORTRANGE(""https://docs.google.com/spreadsheets/d/1uenpWDAH2bchvfvsSIjpd4bRU5D1faxJOaE3"&amp;"4GQM5-c/edit?usp=sharing"",""รวมใต้!L521"")"),33423500)</f>
        <v>33423500</v>
      </c>
      <c r="M519" s="42">
        <f ca="1">IFERROR(__xludf.DUMMYFUNCTION("IMPORTRANGE(""https://docs.google.com/spreadsheets/d/12pGRKgvn2b31Uz_fjAl3XPzZUM_F2_O-zAHL2XHEPZg/edit?usp=sharing"",""รวมเหนือ!M521"")+IMPORTRANGE(""https://docs.google.com/spreadsheets/d/1c0UfJUA6nE6esVMy0kRcX_PENtt96DMxicQpqi3tips/edit?usp=sharing"","""&amp;"รวมตะวันออกเฉียงเหนือ!M521"")+IMPORTRANGE(""https://docs.google.com/spreadsheets/d/1iNWbYmj0agxPDl_yJgGu1eIremFPVMUuMWUKAjBzvrk/edit?usp=sharing"",""รวมกลาง!M521"")+IMPORTRANGE(""https://docs.google.com/spreadsheets/d/1uenpWDAH2bchvfvsSIjpd4bRU5D1faxJOaE3"&amp;"4GQM5-c/edit?usp=sharing"",""รวมใต้!M521"")"),33423500)</f>
        <v>33423500</v>
      </c>
      <c r="N519" s="42">
        <f ca="1">IFERROR(__xludf.DUMMYFUNCTION("IMPORTRANGE(""https://docs.google.com/spreadsheets/d/12pGRKgvn2b31Uz_fjAl3XPzZUM_F2_O-zAHL2XHEPZg/edit?usp=sharing"",""รวมเหนือ!N521"")+IMPORTRANGE(""https://docs.google.com/spreadsheets/d/1c0UfJUA6nE6esVMy0kRcX_PENtt96DMxicQpqi3tips/edit?usp=sharing"","""&amp;"รวมตะวันออกเฉียงเหนือ!N521"")+IMPORTRANGE(""https://docs.google.com/spreadsheets/d/1iNWbYmj0agxPDl_yJgGu1eIremFPVMUuMWUKAjBzvrk/edit?usp=sharing"",""รวมกลาง!N521"")+IMPORTRANGE(""https://docs.google.com/spreadsheets/d/1uenpWDAH2bchvfvsSIjpd4bRU5D1faxJOaE3"&amp;"4GQM5-c/edit?usp=sharing"",""รวมใต้!N521"")"),33423500)</f>
        <v>33423500</v>
      </c>
      <c r="O519" s="42">
        <f t="shared" ca="1" si="338"/>
        <v>100</v>
      </c>
      <c r="P519" s="42">
        <f t="shared" ca="1" si="339"/>
        <v>100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</row>
    <row r="520" spans="1:21" ht="19.5" x14ac:dyDescent="0.3">
      <c r="A520" s="152"/>
      <c r="B520" s="153"/>
      <c r="C520" s="143" t="s">
        <v>18</v>
      </c>
      <c r="D520" s="154" t="s">
        <v>38</v>
      </c>
      <c r="E520" s="155"/>
      <c r="F520" s="155"/>
      <c r="G520" s="156"/>
      <c r="H520" s="157"/>
      <c r="I520" s="149"/>
      <c r="J520" s="40"/>
      <c r="K520" s="41"/>
      <c r="L520" s="41"/>
      <c r="M520" s="41"/>
      <c r="N520" s="41"/>
      <c r="O520" s="150"/>
      <c r="P520" s="150"/>
      <c r="Q520" s="41"/>
      <c r="R520" s="41"/>
      <c r="S520" s="41"/>
      <c r="T520" s="150"/>
      <c r="U520" s="150"/>
    </row>
    <row r="521" spans="1:21" ht="18.75" x14ac:dyDescent="0.25">
      <c r="A521" s="213"/>
      <c r="B521" s="36"/>
      <c r="C521" s="170"/>
      <c r="D521" s="163" t="s">
        <v>215</v>
      </c>
      <c r="E521" s="153"/>
      <c r="F521" s="36"/>
      <c r="G521" s="38"/>
      <c r="H521" s="215" t="s">
        <v>11</v>
      </c>
      <c r="I521" s="176">
        <v>0</v>
      </c>
      <c r="J521" s="176">
        <v>0</v>
      </c>
      <c r="K521" s="42">
        <f t="shared" ref="K521:K522" si="351">IF(I521&gt;0,J521*100/I521,0)</f>
        <v>0</v>
      </c>
      <c r="L521" s="41"/>
      <c r="M521" s="41"/>
      <c r="N521" s="41"/>
      <c r="O521" s="41"/>
      <c r="P521" s="41"/>
      <c r="Q521" s="41"/>
      <c r="R521" s="41"/>
      <c r="S521" s="41"/>
      <c r="T521" s="41"/>
      <c r="U521" s="41"/>
    </row>
    <row r="522" spans="1:21" ht="18.75" x14ac:dyDescent="0.25">
      <c r="A522" s="321"/>
      <c r="B522" s="47"/>
      <c r="C522" s="322"/>
      <c r="D522" s="382" t="s">
        <v>216</v>
      </c>
      <c r="E522" s="257"/>
      <c r="F522" s="47"/>
      <c r="G522" s="49"/>
      <c r="H522" s="383" t="s">
        <v>61</v>
      </c>
      <c r="I522" s="193">
        <f ca="1">IFERROR(__xludf.DUMMYFUNCTION("IMPORTRANGE(""https://docs.google.com/spreadsheets/d/12pGRKgvn2b31Uz_fjAl3XPzZUM_F2_O-zAHL2XHEPZg/edit?usp=sharing"",""รวมเหนือ!I524"")+IMPORTRANGE(""https://docs.google.com/spreadsheets/d/1c0UfJUA6nE6esVMy0kRcX_PENtt96DMxicQpqi3tips/edit?usp=sharing"","""&amp;"รวมตะวันออกเฉียงเหนือ!I524"")+IMPORTRANGE(""https://docs.google.com/spreadsheets/d/1iNWbYmj0agxPDl_yJgGu1eIremFPVMUuMWUKAjBzvrk/edit?usp=sharing"",""รวมกลาง!I524"")+IMPORTRANGE(""https://docs.google.com/spreadsheets/d/1uenpWDAH2bchvfvsSIjpd4bRU5D1faxJOaE3"&amp;"4GQM5-c/edit?usp=sharing"",""รวมใต้!I524"")"),1)</f>
        <v>1</v>
      </c>
      <c r="J522" s="193">
        <f ca="1">IFERROR(__xludf.DUMMYFUNCTION("IMPORTRANGE(""https://docs.google.com/spreadsheets/d/12pGRKgvn2b31Uz_fjAl3XPzZUM_F2_O-zAHL2XHEPZg/edit?usp=sharing"",""รวมเหนือ!J524"")+IMPORTRANGE(""https://docs.google.com/spreadsheets/d/1c0UfJUA6nE6esVMy0kRcX_PENtt96DMxicQpqi3tips/edit?usp=sharing"","""&amp;"รวมตะวันออกเฉียงเหนือ!J524"")+IMPORTRANGE(""https://docs.google.com/spreadsheets/d/1iNWbYmj0agxPDl_yJgGu1eIremFPVMUuMWUKAjBzvrk/edit?usp=sharing"",""รวมกลาง!J524"")+IMPORTRANGE(""https://docs.google.com/spreadsheets/d/1uenpWDAH2bchvfvsSIjpd4bRU5D1faxJOaE3"&amp;"4GQM5-c/edit?usp=sharing"",""รวมใต้!J524"")"),0)</f>
        <v>0</v>
      </c>
      <c r="K522" s="124">
        <f t="shared" ca="1" si="351"/>
        <v>0</v>
      </c>
      <c r="L522" s="52"/>
      <c r="M522" s="52"/>
      <c r="N522" s="52"/>
      <c r="O522" s="52"/>
      <c r="P522" s="52"/>
      <c r="Q522" s="52"/>
      <c r="R522" s="52"/>
      <c r="S522" s="52"/>
      <c r="T522" s="41"/>
      <c r="U522" s="41"/>
    </row>
    <row r="523" spans="1:21" ht="12.75" hidden="1" x14ac:dyDescent="0.2">
      <c r="A523" s="235"/>
      <c r="B523" s="236"/>
      <c r="C523" s="236"/>
      <c r="D523" s="238"/>
      <c r="E523" s="238"/>
      <c r="F523" s="238"/>
      <c r="G523" s="239"/>
      <c r="H523" s="328"/>
      <c r="I523" s="241"/>
      <c r="J523" s="241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</row>
    <row r="524" spans="1:21" ht="12.75" hidden="1" x14ac:dyDescent="0.2">
      <c r="A524" s="235"/>
      <c r="B524" s="236"/>
      <c r="C524" s="236"/>
      <c r="D524" s="238"/>
      <c r="E524" s="238"/>
      <c r="F524" s="238"/>
      <c r="G524" s="239"/>
      <c r="H524" s="328"/>
      <c r="I524" s="241"/>
      <c r="J524" s="241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</row>
    <row r="525" spans="1:21" ht="12.75" hidden="1" x14ac:dyDescent="0.2">
      <c r="A525" s="235"/>
      <c r="B525" s="236"/>
      <c r="C525" s="236"/>
      <c r="D525" s="238"/>
      <c r="E525" s="238"/>
      <c r="F525" s="238"/>
      <c r="G525" s="239"/>
      <c r="H525" s="328"/>
      <c r="I525" s="241"/>
      <c r="J525" s="241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</row>
    <row r="526" spans="1:21" ht="12.75" hidden="1" x14ac:dyDescent="0.2">
      <c r="A526" s="235"/>
      <c r="B526" s="236"/>
      <c r="C526" s="236"/>
      <c r="D526" s="238"/>
      <c r="E526" s="238"/>
      <c r="F526" s="238"/>
      <c r="G526" s="239"/>
      <c r="H526" s="328"/>
      <c r="I526" s="241"/>
      <c r="J526" s="241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</row>
    <row r="527" spans="1:21" ht="12.75" hidden="1" x14ac:dyDescent="0.2">
      <c r="A527" s="235"/>
      <c r="B527" s="236"/>
      <c r="C527" s="236"/>
      <c r="D527" s="238"/>
      <c r="E527" s="238"/>
      <c r="F527" s="238"/>
      <c r="G527" s="239"/>
      <c r="H527" s="328"/>
      <c r="I527" s="241"/>
      <c r="J527" s="241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</row>
    <row r="528" spans="1:21" ht="12.75" hidden="1" x14ac:dyDescent="0.2">
      <c r="A528" s="235"/>
      <c r="B528" s="236"/>
      <c r="C528" s="236"/>
      <c r="D528" s="238"/>
      <c r="E528" s="238"/>
      <c r="F528" s="238"/>
      <c r="G528" s="239"/>
      <c r="H528" s="328"/>
      <c r="I528" s="241"/>
      <c r="J528" s="241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</row>
    <row r="529" spans="1:21" ht="12.75" hidden="1" x14ac:dyDescent="0.2">
      <c r="A529" s="235"/>
      <c r="B529" s="236"/>
      <c r="C529" s="236"/>
      <c r="D529" s="238"/>
      <c r="E529" s="238"/>
      <c r="F529" s="238"/>
      <c r="G529" s="239"/>
      <c r="H529" s="328"/>
      <c r="I529" s="241"/>
      <c r="J529" s="241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</row>
    <row r="530" spans="1:21" ht="12.75" hidden="1" x14ac:dyDescent="0.2">
      <c r="A530" s="329"/>
      <c r="B530" s="330"/>
      <c r="C530" s="330"/>
      <c r="D530" s="384"/>
      <c r="E530" s="384"/>
      <c r="F530" s="384"/>
      <c r="G530" s="385"/>
      <c r="H530" s="331"/>
      <c r="I530" s="332"/>
      <c r="J530" s="332"/>
      <c r="K530" s="333"/>
      <c r="L530" s="333"/>
      <c r="M530" s="333"/>
      <c r="N530" s="333"/>
      <c r="O530" s="333"/>
      <c r="P530" s="333"/>
      <c r="Q530" s="333"/>
      <c r="R530" s="333"/>
      <c r="S530" s="333"/>
      <c r="T530" s="333"/>
      <c r="U530" s="333"/>
    </row>
    <row r="531" spans="1:21" ht="19.5" x14ac:dyDescent="0.3">
      <c r="A531" s="372"/>
      <c r="B531" s="373" t="s">
        <v>217</v>
      </c>
      <c r="C531" s="374"/>
      <c r="D531" s="375"/>
      <c r="E531" s="375"/>
      <c r="F531" s="375"/>
      <c r="G531" s="376"/>
      <c r="H531" s="386" t="s">
        <v>61</v>
      </c>
      <c r="I531" s="387">
        <f t="shared" ref="I531:J531" ca="1" si="352">I542</f>
        <v>3</v>
      </c>
      <c r="J531" s="387">
        <f t="shared" ca="1" si="352"/>
        <v>1</v>
      </c>
      <c r="K531" s="379">
        <f ca="1">IF(I531&gt;0,J531*100/I531,0)</f>
        <v>33.333333333333336</v>
      </c>
      <c r="L531" s="380"/>
      <c r="M531" s="380"/>
      <c r="N531" s="380"/>
      <c r="O531" s="380"/>
      <c r="P531" s="380"/>
      <c r="Q531" s="380"/>
      <c r="R531" s="380"/>
      <c r="S531" s="380"/>
      <c r="T531" s="380"/>
      <c r="U531" s="380"/>
    </row>
    <row r="532" spans="1:21" ht="19.5" x14ac:dyDescent="0.3">
      <c r="A532" s="142"/>
      <c r="B532" s="36"/>
      <c r="C532" s="143" t="s">
        <v>18</v>
      </c>
      <c r="D532" s="144" t="s">
        <v>19</v>
      </c>
      <c r="E532" s="36"/>
      <c r="F532" s="36"/>
      <c r="G532" s="38"/>
      <c r="H532" s="145" t="s">
        <v>14</v>
      </c>
      <c r="I532" s="40"/>
      <c r="J532" s="40"/>
      <c r="K532" s="41"/>
      <c r="L532" s="146">
        <f t="shared" ref="L532:N532" ca="1" si="353">L533+L534</f>
        <v>3228800</v>
      </c>
      <c r="M532" s="146">
        <f t="shared" ca="1" si="353"/>
        <v>2501932</v>
      </c>
      <c r="N532" s="146">
        <f t="shared" ca="1" si="353"/>
        <v>2089132</v>
      </c>
      <c r="O532" s="146">
        <f t="shared" ref="O532:O540" ca="1" si="354">IF(L532&gt;0,N532*100/L532,0)</f>
        <v>64.703047571853318</v>
      </c>
      <c r="P532" s="146">
        <f t="shared" ref="P532:P540" ca="1" si="355">IF(M532&gt;0,N532*100/M532,0)</f>
        <v>83.500750619920922</v>
      </c>
      <c r="Q532" s="146">
        <f t="shared" ref="Q532:S532" si="356">Q533+Q534</f>
        <v>0</v>
      </c>
      <c r="R532" s="146">
        <f t="shared" si="356"/>
        <v>0</v>
      </c>
      <c r="S532" s="146">
        <f t="shared" si="356"/>
        <v>0</v>
      </c>
      <c r="T532" s="146">
        <f t="shared" ref="T532:T535" si="357">IF(Q532&gt;0,S532*100/Q532,0)</f>
        <v>0</v>
      </c>
      <c r="U532" s="146">
        <f t="shared" ref="U532:U535" si="358">IF(R532&gt;0,S532*100/R532,0)</f>
        <v>0</v>
      </c>
    </row>
    <row r="533" spans="1:21" ht="18.75" x14ac:dyDescent="0.25">
      <c r="A533" s="142"/>
      <c r="B533" s="170"/>
      <c r="C533" s="36"/>
      <c r="D533" s="36"/>
      <c r="E533" s="43" t="s">
        <v>20</v>
      </c>
      <c r="F533" s="36"/>
      <c r="G533" s="38"/>
      <c r="H533" s="147" t="s">
        <v>14</v>
      </c>
      <c r="I533" s="40"/>
      <c r="J533" s="40"/>
      <c r="K533" s="41"/>
      <c r="L533" s="42">
        <f t="shared" ref="L533:N533" ca="1" si="359">L536+L539</f>
        <v>122800</v>
      </c>
      <c r="M533" s="42">
        <f t="shared" ca="1" si="359"/>
        <v>122800</v>
      </c>
      <c r="N533" s="42">
        <f t="shared" ca="1" si="359"/>
        <v>0</v>
      </c>
      <c r="O533" s="42">
        <f t="shared" ca="1" si="354"/>
        <v>0</v>
      </c>
      <c r="P533" s="42">
        <f t="shared" ca="1" si="355"/>
        <v>0</v>
      </c>
      <c r="Q533" s="42">
        <f t="shared" ref="Q533:S533" si="360">Q536+Q539</f>
        <v>0</v>
      </c>
      <c r="R533" s="42">
        <f t="shared" si="360"/>
        <v>0</v>
      </c>
      <c r="S533" s="42">
        <f t="shared" si="360"/>
        <v>0</v>
      </c>
      <c r="T533" s="42">
        <f t="shared" si="357"/>
        <v>0</v>
      </c>
      <c r="U533" s="42">
        <f t="shared" si="358"/>
        <v>0</v>
      </c>
    </row>
    <row r="534" spans="1:21" ht="18.75" x14ac:dyDescent="0.25">
      <c r="A534" s="142"/>
      <c r="B534" s="36"/>
      <c r="C534" s="170"/>
      <c r="D534" s="36"/>
      <c r="E534" s="214" t="s">
        <v>21</v>
      </c>
      <c r="F534" s="36"/>
      <c r="G534" s="38"/>
      <c r="H534" s="147" t="s">
        <v>14</v>
      </c>
      <c r="I534" s="40"/>
      <c r="J534" s="40"/>
      <c r="K534" s="41"/>
      <c r="L534" s="42">
        <f t="shared" ref="L534:N534" ca="1" si="361">L537+L540</f>
        <v>3106000</v>
      </c>
      <c r="M534" s="42">
        <f t="shared" ca="1" si="361"/>
        <v>2379132</v>
      </c>
      <c r="N534" s="42">
        <f t="shared" ca="1" si="361"/>
        <v>2089132</v>
      </c>
      <c r="O534" s="42">
        <f t="shared" ca="1" si="354"/>
        <v>67.26117192530586</v>
      </c>
      <c r="P534" s="42">
        <f t="shared" ca="1" si="355"/>
        <v>87.810680533909007</v>
      </c>
      <c r="Q534" s="42">
        <f t="shared" ref="Q534:S534" si="362">Q537+Q540</f>
        <v>0</v>
      </c>
      <c r="R534" s="42">
        <f t="shared" si="362"/>
        <v>0</v>
      </c>
      <c r="S534" s="42">
        <f t="shared" si="362"/>
        <v>0</v>
      </c>
      <c r="T534" s="42">
        <f t="shared" si="357"/>
        <v>0</v>
      </c>
      <c r="U534" s="42">
        <f t="shared" si="358"/>
        <v>0</v>
      </c>
    </row>
    <row r="535" spans="1:21" ht="18.75" x14ac:dyDescent="0.25">
      <c r="A535" s="142"/>
      <c r="B535" s="36"/>
      <c r="C535" s="170"/>
      <c r="D535" s="37" t="s">
        <v>22</v>
      </c>
      <c r="E535" s="170"/>
      <c r="F535" s="36"/>
      <c r="G535" s="38"/>
      <c r="H535" s="148" t="s">
        <v>14</v>
      </c>
      <c r="I535" s="149"/>
      <c r="J535" s="149"/>
      <c r="K535" s="150"/>
      <c r="L535" s="42">
        <f t="shared" ref="L535:N535" ca="1" si="363">L536+L537</f>
        <v>122800</v>
      </c>
      <c r="M535" s="42">
        <f t="shared" ca="1" si="363"/>
        <v>122800</v>
      </c>
      <c r="N535" s="42">
        <f t="shared" ca="1" si="363"/>
        <v>0</v>
      </c>
      <c r="O535" s="42">
        <f t="shared" ca="1" si="354"/>
        <v>0</v>
      </c>
      <c r="P535" s="42">
        <f t="shared" ca="1" si="355"/>
        <v>0</v>
      </c>
      <c r="Q535" s="42">
        <f t="shared" ref="Q535:S535" si="364">Q536+Q537</f>
        <v>0</v>
      </c>
      <c r="R535" s="42">
        <f t="shared" si="364"/>
        <v>0</v>
      </c>
      <c r="S535" s="42">
        <f t="shared" si="364"/>
        <v>0</v>
      </c>
      <c r="T535" s="42">
        <f t="shared" si="357"/>
        <v>0</v>
      </c>
      <c r="U535" s="42">
        <f t="shared" si="358"/>
        <v>0</v>
      </c>
    </row>
    <row r="536" spans="1:21" ht="18.75" x14ac:dyDescent="0.25">
      <c r="A536" s="142"/>
      <c r="B536" s="36"/>
      <c r="C536" s="36"/>
      <c r="D536" s="36"/>
      <c r="E536" s="43" t="s">
        <v>36</v>
      </c>
      <c r="F536" s="36"/>
      <c r="G536" s="38"/>
      <c r="H536" s="148" t="s">
        <v>14</v>
      </c>
      <c r="I536" s="149"/>
      <c r="J536" s="149"/>
      <c r="K536" s="150"/>
      <c r="L536" s="42">
        <f ca="1">IFERROR(__xludf.DUMMYFUNCTION("IMPORTRANGE(""https://docs.google.com/spreadsheets/d/1-uDff_7J0KD5mKrp0Vvzr7lt3OU09vwQwhkpOPPYv2Y/edit?usp=sharing"",""งบพรบ!FW9"")"),122800)</f>
        <v>122800</v>
      </c>
      <c r="M536" s="42">
        <f ca="1">IFERROR(__xludf.DUMMYFUNCTION("IMPORTRANGE(""https://docs.google.com/spreadsheets/d/1-uDff_7J0KD5mKrp0Vvzr7lt3OU09vwQwhkpOPPYv2Y/edit?usp=sharing"",""งบพรบ!GB9"")"),122800)</f>
        <v>122800</v>
      </c>
      <c r="N536" s="42">
        <f ca="1">IFERROR(__xludf.DUMMYFUNCTION("IMPORTRANGE(""https://docs.google.com/spreadsheets/d/1-uDff_7J0KD5mKrp0Vvzr7lt3OU09vwQwhkpOPPYv2Y/edit?usp=sharing"",""งบพรบ!GD9"")"),0)</f>
        <v>0</v>
      </c>
      <c r="O536" s="42">
        <f t="shared" ca="1" si="354"/>
        <v>0</v>
      </c>
      <c r="P536" s="42">
        <f t="shared" ca="1" si="355"/>
        <v>0</v>
      </c>
      <c r="Q536" s="42">
        <v>0</v>
      </c>
      <c r="R536" s="42">
        <v>0</v>
      </c>
      <c r="S536" s="42">
        <v>0</v>
      </c>
      <c r="T536" s="42">
        <v>0</v>
      </c>
      <c r="U536" s="42">
        <v>0</v>
      </c>
    </row>
    <row r="537" spans="1:21" ht="18.75" x14ac:dyDescent="0.25">
      <c r="A537" s="142"/>
      <c r="B537" s="36"/>
      <c r="C537" s="36"/>
      <c r="D537" s="36"/>
      <c r="E537" s="43" t="s">
        <v>37</v>
      </c>
      <c r="F537" s="36"/>
      <c r="G537" s="38"/>
      <c r="H537" s="148" t="s">
        <v>14</v>
      </c>
      <c r="I537" s="149"/>
      <c r="J537" s="149"/>
      <c r="K537" s="150"/>
      <c r="L537" s="42">
        <f ca="1">IFERROR(__xludf.DUMMYFUNCTION("IMPORTRANGE(""https://docs.google.com/spreadsheets/d/12pGRKgvn2b31Uz_fjAl3XPzZUM_F2_O-zAHL2XHEPZg/edit?usp=sharing"",""รวมเหนือ!L539"")+IMPORTRANGE(""https://docs.google.com/spreadsheets/d/1c0UfJUA6nE6esVMy0kRcX_PENtt96DMxicQpqi3tips/edit?usp=sharing"","""&amp;"รวมตะวันออกเฉียงเหนือ!L539"")+IMPORTRANGE(""https://docs.google.com/spreadsheets/d/1iNWbYmj0agxPDl_yJgGu1eIremFPVMUuMWUKAjBzvrk/edit?usp=sharing"",""รวมกลาง!L539"")+IMPORTRANGE(""https://docs.google.com/spreadsheets/d/1uenpWDAH2bchvfvsSIjpd4bRU5D1faxJOaE3"&amp;"4GQM5-c/edit?usp=sharing"",""รวมใต้!L539"")"),0)</f>
        <v>0</v>
      </c>
      <c r="M537" s="42">
        <f ca="1">IFERROR(__xludf.DUMMYFUNCTION("IMPORTRANGE(""https://docs.google.com/spreadsheets/d/12pGRKgvn2b31Uz_fjAl3XPzZUM_F2_O-zAHL2XHEPZg/edit?usp=sharing"",""รวมเหนือ!M539"")+IMPORTRANGE(""https://docs.google.com/spreadsheets/d/1c0UfJUA6nE6esVMy0kRcX_PENtt96DMxicQpqi3tips/edit?usp=sharing"","""&amp;"รวมตะวันออกเฉียงเหนือ!M539"")+IMPORTRANGE(""https://docs.google.com/spreadsheets/d/1iNWbYmj0agxPDl_yJgGu1eIremFPVMUuMWUKAjBzvrk/edit?usp=sharing"",""รวมกลาง!M539"")+IMPORTRANGE(""https://docs.google.com/spreadsheets/d/1uenpWDAH2bchvfvsSIjpd4bRU5D1faxJOaE3"&amp;"4GQM5-c/edit?usp=sharing"",""รวมใต้!M539"")"),0)</f>
        <v>0</v>
      </c>
      <c r="N537" s="42">
        <f ca="1">IFERROR(__xludf.DUMMYFUNCTION("IMPORTRANGE(""https://docs.google.com/spreadsheets/d/12pGRKgvn2b31Uz_fjAl3XPzZUM_F2_O-zAHL2XHEPZg/edit?usp=sharing"",""รวมเหนือ!N539"")+IMPORTRANGE(""https://docs.google.com/spreadsheets/d/1c0UfJUA6nE6esVMy0kRcX_PENtt96DMxicQpqi3tips/edit?usp=sharing"","""&amp;"รวมตะวันออกเฉียงเหนือ!N539"")+IMPORTRANGE(""https://docs.google.com/spreadsheets/d/1iNWbYmj0agxPDl_yJgGu1eIremFPVMUuMWUKAjBzvrk/edit?usp=sharing"",""รวมกลาง!N539"")+IMPORTRANGE(""https://docs.google.com/spreadsheets/d/1uenpWDAH2bchvfvsSIjpd4bRU5D1faxJOaE3"&amp;"4GQM5-c/edit?usp=sharing"",""รวมใต้!N539"")"),0)</f>
        <v>0</v>
      </c>
      <c r="O537" s="42">
        <f t="shared" ca="1" si="354"/>
        <v>0</v>
      </c>
      <c r="P537" s="42">
        <f t="shared" ca="1" si="355"/>
        <v>0</v>
      </c>
      <c r="Q537" s="42">
        <v>0</v>
      </c>
      <c r="R537" s="42">
        <v>0</v>
      </c>
      <c r="S537" s="42">
        <v>0</v>
      </c>
      <c r="T537" s="42">
        <v>0</v>
      </c>
      <c r="U537" s="42">
        <v>0</v>
      </c>
    </row>
    <row r="538" spans="1:21" ht="18.75" x14ac:dyDescent="0.25">
      <c r="A538" s="142"/>
      <c r="B538" s="36"/>
      <c r="C538" s="36"/>
      <c r="D538" s="37" t="s">
        <v>23</v>
      </c>
      <c r="E538" s="36"/>
      <c r="F538" s="36"/>
      <c r="G538" s="38"/>
      <c r="H538" s="151" t="s">
        <v>14</v>
      </c>
      <c r="I538" s="149"/>
      <c r="J538" s="149"/>
      <c r="K538" s="150"/>
      <c r="L538" s="42">
        <f t="shared" ref="L538:N538" ca="1" si="365">L539+L540</f>
        <v>3106000</v>
      </c>
      <c r="M538" s="42">
        <f t="shared" ca="1" si="365"/>
        <v>2379132</v>
      </c>
      <c r="N538" s="42">
        <f t="shared" ca="1" si="365"/>
        <v>2089132</v>
      </c>
      <c r="O538" s="42">
        <f t="shared" ca="1" si="354"/>
        <v>67.26117192530586</v>
      </c>
      <c r="P538" s="42">
        <f t="shared" ca="1" si="355"/>
        <v>87.810680533909007</v>
      </c>
      <c r="Q538" s="42">
        <f t="shared" ref="Q538:S538" si="366">Q539+Q540</f>
        <v>0</v>
      </c>
      <c r="R538" s="42">
        <f t="shared" si="366"/>
        <v>0</v>
      </c>
      <c r="S538" s="42">
        <f t="shared" si="366"/>
        <v>0</v>
      </c>
      <c r="T538" s="42">
        <f>IF(Q538&gt;0,S538*100/Q538,0)</f>
        <v>0</v>
      </c>
      <c r="U538" s="42">
        <f>IF(R538&gt;0,S538*100/R538,0)</f>
        <v>0</v>
      </c>
    </row>
    <row r="539" spans="1:21" ht="18.75" x14ac:dyDescent="0.25">
      <c r="A539" s="142"/>
      <c r="B539" s="36"/>
      <c r="C539" s="36"/>
      <c r="D539" s="36"/>
      <c r="E539" s="43" t="s">
        <v>20</v>
      </c>
      <c r="F539" s="36"/>
      <c r="G539" s="38"/>
      <c r="H539" s="148" t="s">
        <v>14</v>
      </c>
      <c r="I539" s="149"/>
      <c r="J539" s="149"/>
      <c r="K539" s="150"/>
      <c r="L539" s="42">
        <f ca="1">IFERROR(__xludf.DUMMYFUNCTION("IMPORTRANGE(""https://docs.google.com/spreadsheets/d/1-uDff_7J0KD5mKrp0Vvzr7lt3OU09vwQwhkpOPPYv2Y/edit?usp=sharing"",""งบพรบ!FZ9"")"),0)</f>
        <v>0</v>
      </c>
      <c r="M539" s="42">
        <f ca="1">IFERROR(__xludf.DUMMYFUNCTION("IMPORTRANGE(""https://docs.google.com/spreadsheets/d/1-uDff_7J0KD5mKrp0Vvzr7lt3OU09vwQwhkpOPPYv2Y/edit?usp=sharing"",""งบพรบ!GC9"")"),0)</f>
        <v>0</v>
      </c>
      <c r="N539" s="42">
        <f ca="1">IFERROR(__xludf.DUMMYFUNCTION("IMPORTRANGE(""https://docs.google.com/spreadsheets/d/1-uDff_7J0KD5mKrp0Vvzr7lt3OU09vwQwhkpOPPYv2Y/edit?usp=sharing"",""งบพรบ!GE9"")"),0)</f>
        <v>0</v>
      </c>
      <c r="O539" s="42">
        <f t="shared" ca="1" si="354"/>
        <v>0</v>
      </c>
      <c r="P539" s="42">
        <f t="shared" ca="1" si="355"/>
        <v>0</v>
      </c>
      <c r="Q539" s="42">
        <v>0</v>
      </c>
      <c r="R539" s="42">
        <v>0</v>
      </c>
      <c r="S539" s="42">
        <v>0</v>
      </c>
      <c r="T539" s="42">
        <v>0</v>
      </c>
      <c r="U539" s="42">
        <v>0</v>
      </c>
    </row>
    <row r="540" spans="1:21" ht="18.75" x14ac:dyDescent="0.25">
      <c r="A540" s="142"/>
      <c r="B540" s="36"/>
      <c r="C540" s="36"/>
      <c r="D540" s="36"/>
      <c r="E540" s="43" t="s">
        <v>21</v>
      </c>
      <c r="F540" s="36"/>
      <c r="G540" s="38"/>
      <c r="H540" s="151" t="s">
        <v>14</v>
      </c>
      <c r="I540" s="149"/>
      <c r="J540" s="149"/>
      <c r="K540" s="150"/>
      <c r="L540" s="42">
        <f ca="1">IFERROR(__xludf.DUMMYFUNCTION("IMPORTRANGE(""https://docs.google.com/spreadsheets/d/12pGRKgvn2b31Uz_fjAl3XPzZUM_F2_O-zAHL2XHEPZg/edit?usp=sharing"",""รวมเหนือ!L542"")+IMPORTRANGE(""https://docs.google.com/spreadsheets/d/1c0UfJUA6nE6esVMy0kRcX_PENtt96DMxicQpqi3tips/edit?usp=sharing"","""&amp;"รวมตะวันออกเฉียงเหนือ!L542"")+IMPORTRANGE(""https://docs.google.com/spreadsheets/d/1iNWbYmj0agxPDl_yJgGu1eIremFPVMUuMWUKAjBzvrk/edit?usp=sharing"",""รวมกลาง!L542"")+IMPORTRANGE(""https://docs.google.com/spreadsheets/d/1uenpWDAH2bchvfvsSIjpd4bRU5D1faxJOaE3"&amp;"4GQM5-c/edit?usp=sharing"",""รวมใต้!L542"")"),3106000)</f>
        <v>3106000</v>
      </c>
      <c r="M540" s="42">
        <f ca="1">IFERROR(__xludf.DUMMYFUNCTION("IMPORTRANGE(""https://docs.google.com/spreadsheets/d/12pGRKgvn2b31Uz_fjAl3XPzZUM_F2_O-zAHL2XHEPZg/edit?usp=sharing"",""รวมเหนือ!M542"")+IMPORTRANGE(""https://docs.google.com/spreadsheets/d/1c0UfJUA6nE6esVMy0kRcX_PENtt96DMxicQpqi3tips/edit?usp=sharing"","""&amp;"รวมตะวันออกเฉียงเหนือ!M542"")+IMPORTRANGE(""https://docs.google.com/spreadsheets/d/1iNWbYmj0agxPDl_yJgGu1eIremFPVMUuMWUKAjBzvrk/edit?usp=sharing"",""รวมกลาง!M542"")+IMPORTRANGE(""https://docs.google.com/spreadsheets/d/1uenpWDAH2bchvfvsSIjpd4bRU5D1faxJOaE3"&amp;"4GQM5-c/edit?usp=sharing"",""รวมใต้!M542"")"),2379132)</f>
        <v>2379132</v>
      </c>
      <c r="N540" s="42">
        <f ca="1">IFERROR(__xludf.DUMMYFUNCTION("IMPORTRANGE(""https://docs.google.com/spreadsheets/d/12pGRKgvn2b31Uz_fjAl3XPzZUM_F2_O-zAHL2XHEPZg/edit?usp=sharing"",""รวมเหนือ!N542"")+IMPORTRANGE(""https://docs.google.com/spreadsheets/d/1c0UfJUA6nE6esVMy0kRcX_PENtt96DMxicQpqi3tips/edit?usp=sharing"","""&amp;"รวมตะวันออกเฉียงเหนือ!N542"")+IMPORTRANGE(""https://docs.google.com/spreadsheets/d/1iNWbYmj0agxPDl_yJgGu1eIremFPVMUuMWUKAjBzvrk/edit?usp=sharing"",""รวมกลาง!N542"")+IMPORTRANGE(""https://docs.google.com/spreadsheets/d/1uenpWDAH2bchvfvsSIjpd4bRU5D1faxJOaE3"&amp;"4GQM5-c/edit?usp=sharing"",""รวมใต้!N542"")"),2089132)</f>
        <v>2089132</v>
      </c>
      <c r="O540" s="42">
        <f t="shared" ca="1" si="354"/>
        <v>67.26117192530586</v>
      </c>
      <c r="P540" s="42">
        <f t="shared" ca="1" si="355"/>
        <v>87.810680533909007</v>
      </c>
      <c r="Q540" s="42">
        <v>0</v>
      </c>
      <c r="R540" s="42">
        <v>0</v>
      </c>
      <c r="S540" s="42">
        <v>0</v>
      </c>
      <c r="T540" s="42">
        <v>0</v>
      </c>
      <c r="U540" s="42">
        <v>0</v>
      </c>
    </row>
    <row r="541" spans="1:21" ht="19.5" x14ac:dyDescent="0.3">
      <c r="A541" s="152"/>
      <c r="B541" s="153"/>
      <c r="C541" s="143" t="s">
        <v>18</v>
      </c>
      <c r="D541" s="154" t="s">
        <v>38</v>
      </c>
      <c r="E541" s="155"/>
      <c r="F541" s="155"/>
      <c r="G541" s="156"/>
      <c r="H541" s="157"/>
      <c r="I541" s="149"/>
      <c r="J541" s="40"/>
      <c r="K541" s="41"/>
      <c r="L541" s="41"/>
      <c r="M541" s="41"/>
      <c r="N541" s="41"/>
      <c r="O541" s="150"/>
      <c r="P541" s="150"/>
      <c r="Q541" s="41"/>
      <c r="R541" s="41"/>
      <c r="S541" s="41"/>
      <c r="T541" s="150"/>
      <c r="U541" s="150"/>
    </row>
    <row r="542" spans="1:21" ht="18.75" x14ac:dyDescent="0.25">
      <c r="A542" s="213"/>
      <c r="B542" s="36"/>
      <c r="C542" s="170"/>
      <c r="D542" s="163" t="s">
        <v>218</v>
      </c>
      <c r="E542" s="170"/>
      <c r="F542" s="36"/>
      <c r="G542" s="38"/>
      <c r="H542" s="147" t="s">
        <v>61</v>
      </c>
      <c r="I542" s="94">
        <f ca="1">IFERROR(__xludf.DUMMYFUNCTION("IMPORTRANGE(""https://docs.google.com/spreadsheets/d/12pGRKgvn2b31Uz_fjAl3XPzZUM_F2_O-zAHL2XHEPZg/edit?usp=sharing"",""รวมเหนือ!I544"")+IMPORTRANGE(""https://docs.google.com/spreadsheets/d/1c0UfJUA6nE6esVMy0kRcX_PENtt96DMxicQpqi3tips/edit?usp=sharing"","""&amp;"รวมตะวันออกเฉียงเหนือ!I544"")+IMPORTRANGE(""https://docs.google.com/spreadsheets/d/1iNWbYmj0agxPDl_yJgGu1eIremFPVMUuMWUKAjBzvrk/edit?usp=sharing"",""รวมกลาง!I544"")+IMPORTRANGE(""https://docs.google.com/spreadsheets/d/1uenpWDAH2bchvfvsSIjpd4bRU5D1faxJOaE3"&amp;"4GQM5-c/edit?usp=sharing"",""รวมใต้!I544"")"),3)</f>
        <v>3</v>
      </c>
      <c r="J542" s="94">
        <f ca="1">IFERROR(__xludf.DUMMYFUNCTION("IMPORTRANGE(""https://docs.google.com/spreadsheets/d/12pGRKgvn2b31Uz_fjAl3XPzZUM_F2_O-zAHL2XHEPZg/edit?usp=sharing"",""รวมเหนือ!J544"")+IMPORTRANGE(""https://docs.google.com/spreadsheets/d/1c0UfJUA6nE6esVMy0kRcX_PENtt96DMxicQpqi3tips/edit?usp=sharing"","""&amp;"รวมตะวันออกเฉียงเหนือ!J544"")+IMPORTRANGE(""https://docs.google.com/spreadsheets/d/1iNWbYmj0agxPDl_yJgGu1eIremFPVMUuMWUKAjBzvrk/edit?usp=sharing"",""รวมกลาง!J544"")+IMPORTRANGE(""https://docs.google.com/spreadsheets/d/1uenpWDAH2bchvfvsSIjpd4bRU5D1faxJOaE3"&amp;"4GQM5-c/edit?usp=sharing"",""รวมใต้!J544"")"),1)</f>
        <v>1</v>
      </c>
      <c r="K542" s="45">
        <f ca="1">IF(I542&gt;0,J542*100/I542,0)</f>
        <v>33.333333333333336</v>
      </c>
      <c r="L542" s="41"/>
      <c r="M542" s="41"/>
      <c r="N542" s="41"/>
      <c r="O542" s="41"/>
      <c r="P542" s="41"/>
      <c r="Q542" s="41"/>
      <c r="R542" s="41"/>
      <c r="S542" s="41"/>
      <c r="T542" s="41"/>
      <c r="U542" s="41"/>
    </row>
    <row r="543" spans="1:21" ht="18.75" hidden="1" x14ac:dyDescent="0.25">
      <c r="A543" s="235"/>
      <c r="B543" s="238"/>
      <c r="C543" s="236"/>
      <c r="D543" s="388"/>
      <c r="E543" s="236"/>
      <c r="F543" s="238"/>
      <c r="G543" s="239"/>
      <c r="H543" s="239"/>
      <c r="I543" s="241"/>
      <c r="J543" s="241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</row>
    <row r="544" spans="1:21" ht="12.75" hidden="1" x14ac:dyDescent="0.2">
      <c r="A544" s="235"/>
      <c r="B544" s="236"/>
      <c r="C544" s="236"/>
      <c r="D544" s="238"/>
      <c r="E544" s="238"/>
      <c r="F544" s="238"/>
      <c r="G544" s="239"/>
      <c r="H544" s="328"/>
      <c r="I544" s="241"/>
      <c r="J544" s="241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</row>
    <row r="545" spans="1:21" ht="12.75" hidden="1" x14ac:dyDescent="0.2">
      <c r="A545" s="235"/>
      <c r="B545" s="236"/>
      <c r="C545" s="236"/>
      <c r="D545" s="238"/>
      <c r="E545" s="238"/>
      <c r="F545" s="238"/>
      <c r="G545" s="239"/>
      <c r="H545" s="328"/>
      <c r="I545" s="241"/>
      <c r="J545" s="241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</row>
    <row r="546" spans="1:21" ht="12.75" hidden="1" x14ac:dyDescent="0.2">
      <c r="A546" s="235"/>
      <c r="B546" s="236"/>
      <c r="C546" s="236"/>
      <c r="D546" s="238"/>
      <c r="E546" s="238"/>
      <c r="F546" s="238"/>
      <c r="G546" s="239"/>
      <c r="H546" s="328"/>
      <c r="I546" s="241"/>
      <c r="J546" s="241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</row>
    <row r="547" spans="1:21" ht="12.75" hidden="1" x14ac:dyDescent="0.2">
      <c r="A547" s="235"/>
      <c r="B547" s="236"/>
      <c r="C547" s="236"/>
      <c r="D547" s="238"/>
      <c r="E547" s="238"/>
      <c r="F547" s="238"/>
      <c r="G547" s="239"/>
      <c r="H547" s="328"/>
      <c r="I547" s="241"/>
      <c r="J547" s="241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</row>
    <row r="548" spans="1:21" ht="12.75" hidden="1" x14ac:dyDescent="0.2">
      <c r="A548" s="235"/>
      <c r="B548" s="236"/>
      <c r="C548" s="236"/>
      <c r="D548" s="238"/>
      <c r="E548" s="238"/>
      <c r="F548" s="238"/>
      <c r="G548" s="239"/>
      <c r="H548" s="328"/>
      <c r="I548" s="241"/>
      <c r="J548" s="241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</row>
    <row r="549" spans="1:21" ht="12.75" hidden="1" x14ac:dyDescent="0.2">
      <c r="A549" s="235"/>
      <c r="B549" s="236"/>
      <c r="C549" s="236"/>
      <c r="D549" s="238"/>
      <c r="E549" s="238"/>
      <c r="F549" s="238"/>
      <c r="G549" s="239"/>
      <c r="H549" s="328"/>
      <c r="I549" s="241"/>
      <c r="J549" s="241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</row>
    <row r="550" spans="1:21" ht="12.75" hidden="1" x14ac:dyDescent="0.2">
      <c r="A550" s="235"/>
      <c r="B550" s="236"/>
      <c r="C550" s="236"/>
      <c r="D550" s="238"/>
      <c r="E550" s="238"/>
      <c r="F550" s="238"/>
      <c r="G550" s="239"/>
      <c r="H550" s="328"/>
      <c r="I550" s="241"/>
      <c r="J550" s="241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</row>
    <row r="551" spans="1:21" ht="12.75" hidden="1" x14ac:dyDescent="0.2">
      <c r="A551" s="329"/>
      <c r="B551" s="330"/>
      <c r="C551" s="330"/>
      <c r="D551" s="384"/>
      <c r="E551" s="384"/>
      <c r="F551" s="384"/>
      <c r="G551" s="385"/>
      <c r="H551" s="331"/>
      <c r="I551" s="332"/>
      <c r="J551" s="332"/>
      <c r="K551" s="333"/>
      <c r="L551" s="333"/>
      <c r="M551" s="333"/>
      <c r="N551" s="333"/>
      <c r="O551" s="333"/>
      <c r="P551" s="333"/>
      <c r="Q551" s="333"/>
      <c r="R551" s="333"/>
      <c r="S551" s="333"/>
      <c r="T551" s="333"/>
      <c r="U551" s="333"/>
    </row>
    <row r="552" spans="1:21" ht="19.5" x14ac:dyDescent="0.3">
      <c r="A552" s="372"/>
      <c r="B552" s="373" t="s">
        <v>219</v>
      </c>
      <c r="C552" s="374"/>
      <c r="D552" s="375"/>
      <c r="E552" s="375"/>
      <c r="F552" s="375"/>
      <c r="G552" s="376"/>
      <c r="H552" s="386" t="s">
        <v>61</v>
      </c>
      <c r="I552" s="387">
        <f t="shared" ref="I552" ca="1" si="367">I563</f>
        <v>19</v>
      </c>
      <c r="J552" s="387">
        <v>6</v>
      </c>
      <c r="K552" s="379">
        <f ca="1">IF(I552&gt;0,J552*100/I552,0)</f>
        <v>31.578947368421051</v>
      </c>
      <c r="L552" s="380"/>
      <c r="M552" s="380"/>
      <c r="N552" s="380"/>
      <c r="O552" s="380"/>
      <c r="P552" s="380"/>
      <c r="Q552" s="380"/>
      <c r="R552" s="380"/>
      <c r="S552" s="380"/>
      <c r="T552" s="380"/>
      <c r="U552" s="380"/>
    </row>
    <row r="553" spans="1:21" ht="19.5" x14ac:dyDescent="0.3">
      <c r="A553" s="142"/>
      <c r="B553" s="36"/>
      <c r="C553" s="143" t="s">
        <v>18</v>
      </c>
      <c r="D553" s="144" t="s">
        <v>19</v>
      </c>
      <c r="E553" s="36"/>
      <c r="F553" s="36"/>
      <c r="G553" s="38"/>
      <c r="H553" s="145" t="s">
        <v>14</v>
      </c>
      <c r="I553" s="40"/>
      <c r="J553" s="40"/>
      <c r="K553" s="41"/>
      <c r="L553" s="146">
        <f t="shared" ref="L553:N553" ca="1" si="368">L554+L555</f>
        <v>20326400</v>
      </c>
      <c r="M553" s="146">
        <f t="shared" ca="1" si="368"/>
        <v>14393088</v>
      </c>
      <c r="N553" s="146">
        <f t="shared" ca="1" si="368"/>
        <v>13896888</v>
      </c>
      <c r="O553" s="146">
        <f t="shared" ref="O553:O561" ca="1" si="369">IF(L553&gt;0,N553*100/L553,0)</f>
        <v>68.368663413098233</v>
      </c>
      <c r="P553" s="146">
        <f t="shared" ref="P553:P561" ca="1" si="370">IF(M553&gt;0,N553*100/M553,0)</f>
        <v>96.5525118723654</v>
      </c>
      <c r="Q553" s="146">
        <f t="shared" ref="Q553:S553" si="371">Q554+Q555</f>
        <v>0</v>
      </c>
      <c r="R553" s="146">
        <f t="shared" si="371"/>
        <v>0</v>
      </c>
      <c r="S553" s="146">
        <f t="shared" si="371"/>
        <v>0</v>
      </c>
      <c r="T553" s="146">
        <f t="shared" ref="T553:T556" si="372">IF(Q553&gt;0,S553*100/Q553,0)</f>
        <v>0</v>
      </c>
      <c r="U553" s="146">
        <f t="shared" ref="U553:U556" si="373">IF(R553&gt;0,S553*100/R553,0)</f>
        <v>0</v>
      </c>
    </row>
    <row r="554" spans="1:21" ht="18.75" x14ac:dyDescent="0.25">
      <c r="A554" s="142"/>
      <c r="B554" s="170"/>
      <c r="C554" s="36"/>
      <c r="D554" s="36"/>
      <c r="E554" s="43" t="s">
        <v>20</v>
      </c>
      <c r="F554" s="36"/>
      <c r="G554" s="38"/>
      <c r="H554" s="147" t="s">
        <v>14</v>
      </c>
      <c r="I554" s="40"/>
      <c r="J554" s="40"/>
      <c r="K554" s="41"/>
      <c r="L554" s="42">
        <f t="shared" ref="L554:N554" ca="1" si="374">L557+L560</f>
        <v>664800</v>
      </c>
      <c r="M554" s="42">
        <f t="shared" ca="1" si="374"/>
        <v>268750</v>
      </c>
      <c r="N554" s="42">
        <f t="shared" ca="1" si="374"/>
        <v>0</v>
      </c>
      <c r="O554" s="42">
        <f t="shared" ca="1" si="369"/>
        <v>0</v>
      </c>
      <c r="P554" s="42">
        <f t="shared" ca="1" si="370"/>
        <v>0</v>
      </c>
      <c r="Q554" s="42">
        <f t="shared" ref="Q554:S554" si="375">Q557+Q560</f>
        <v>0</v>
      </c>
      <c r="R554" s="42">
        <f t="shared" si="375"/>
        <v>0</v>
      </c>
      <c r="S554" s="42">
        <f t="shared" si="375"/>
        <v>0</v>
      </c>
      <c r="T554" s="42">
        <f t="shared" si="372"/>
        <v>0</v>
      </c>
      <c r="U554" s="42">
        <f t="shared" si="373"/>
        <v>0</v>
      </c>
    </row>
    <row r="555" spans="1:21" ht="18.75" x14ac:dyDescent="0.25">
      <c r="A555" s="142"/>
      <c r="B555" s="36"/>
      <c r="C555" s="170"/>
      <c r="D555" s="36"/>
      <c r="E555" s="214" t="s">
        <v>21</v>
      </c>
      <c r="F555" s="36"/>
      <c r="G555" s="38"/>
      <c r="H555" s="147" t="s">
        <v>14</v>
      </c>
      <c r="I555" s="40"/>
      <c r="J555" s="40"/>
      <c r="K555" s="41"/>
      <c r="L555" s="42">
        <f t="shared" ref="L555:N555" ca="1" si="376">L558+L561</f>
        <v>19661600</v>
      </c>
      <c r="M555" s="42">
        <f t="shared" ca="1" si="376"/>
        <v>14124338</v>
      </c>
      <c r="N555" s="42">
        <f t="shared" ca="1" si="376"/>
        <v>13896888</v>
      </c>
      <c r="O555" s="42">
        <f t="shared" ca="1" si="369"/>
        <v>70.680351548195461</v>
      </c>
      <c r="P555" s="42">
        <f t="shared" ca="1" si="370"/>
        <v>98.389659041011342</v>
      </c>
      <c r="Q555" s="42">
        <f t="shared" ref="Q555:S555" si="377">Q558+Q561</f>
        <v>0</v>
      </c>
      <c r="R555" s="42">
        <f t="shared" si="377"/>
        <v>0</v>
      </c>
      <c r="S555" s="42">
        <f t="shared" si="377"/>
        <v>0</v>
      </c>
      <c r="T555" s="42">
        <f t="shared" si="372"/>
        <v>0</v>
      </c>
      <c r="U555" s="42">
        <f t="shared" si="373"/>
        <v>0</v>
      </c>
    </row>
    <row r="556" spans="1:21" ht="18.75" x14ac:dyDescent="0.25">
      <c r="A556" s="142"/>
      <c r="B556" s="36"/>
      <c r="C556" s="170"/>
      <c r="D556" s="37" t="s">
        <v>22</v>
      </c>
      <c r="E556" s="170"/>
      <c r="F556" s="36"/>
      <c r="G556" s="38"/>
      <c r="H556" s="148" t="s">
        <v>14</v>
      </c>
      <c r="I556" s="149"/>
      <c r="J556" s="149"/>
      <c r="K556" s="150"/>
      <c r="L556" s="42">
        <f t="shared" ref="L556:N556" ca="1" si="378">L557+L558</f>
        <v>664800</v>
      </c>
      <c r="M556" s="42">
        <f t="shared" ca="1" si="378"/>
        <v>664800</v>
      </c>
      <c r="N556" s="42">
        <f t="shared" ca="1" si="378"/>
        <v>322600</v>
      </c>
      <c r="O556" s="42">
        <f t="shared" ca="1" si="369"/>
        <v>48.525872442839955</v>
      </c>
      <c r="P556" s="42">
        <f t="shared" ca="1" si="370"/>
        <v>48.525872442839955</v>
      </c>
      <c r="Q556" s="42">
        <f t="shared" ref="Q556:S556" si="379">Q557+Q558</f>
        <v>0</v>
      </c>
      <c r="R556" s="42">
        <f t="shared" si="379"/>
        <v>0</v>
      </c>
      <c r="S556" s="42">
        <f t="shared" si="379"/>
        <v>0</v>
      </c>
      <c r="T556" s="42">
        <f t="shared" si="372"/>
        <v>0</v>
      </c>
      <c r="U556" s="42">
        <f t="shared" si="373"/>
        <v>0</v>
      </c>
    </row>
    <row r="557" spans="1:21" ht="18.75" x14ac:dyDescent="0.25">
      <c r="A557" s="142"/>
      <c r="B557" s="36"/>
      <c r="C557" s="36"/>
      <c r="D557" s="36"/>
      <c r="E557" s="43" t="s">
        <v>36</v>
      </c>
      <c r="F557" s="36"/>
      <c r="G557" s="38"/>
      <c r="H557" s="148" t="s">
        <v>14</v>
      </c>
      <c r="I557" s="149"/>
      <c r="J557" s="149"/>
      <c r="K557" s="150"/>
      <c r="L557" s="42">
        <f ca="1">IFERROR(__xludf.DUMMYFUNCTION("IMPORTRANGE(""https://docs.google.com/spreadsheets/d/1-uDff_7J0KD5mKrp0Vvzr7lt3OU09vwQwhkpOPPYv2Y/edit?usp=sharing"",""งบพรบ!GG9"")"),664800)</f>
        <v>664800</v>
      </c>
      <c r="M557" s="42">
        <f ca="1">IFERROR(__xludf.DUMMYFUNCTION("IMPORTRANGE(""https://docs.google.com/spreadsheets/d/1-uDff_7J0KD5mKrp0Vvzr7lt3OU09vwQwhkpOPPYv2Y/edit?usp=sharing"",""งบพรบ!GL9"")"),268750)</f>
        <v>268750</v>
      </c>
      <c r="N557" s="42">
        <f ca="1">IFERROR(__xludf.DUMMYFUNCTION("IMPORTRANGE(""https://docs.google.com/spreadsheets/d/1-uDff_7J0KD5mKrp0Vvzr7lt3OU09vwQwhkpOPPYv2Y/edit?usp=sharing"",""งบพรบ!GN9"")"),0)</f>
        <v>0</v>
      </c>
      <c r="O557" s="42">
        <f t="shared" ca="1" si="369"/>
        <v>0</v>
      </c>
      <c r="P557" s="42">
        <f t="shared" ca="1" si="370"/>
        <v>0</v>
      </c>
      <c r="Q557" s="42">
        <v>0</v>
      </c>
      <c r="R557" s="42">
        <v>0</v>
      </c>
      <c r="S557" s="42">
        <v>0</v>
      </c>
      <c r="T557" s="42">
        <v>0</v>
      </c>
      <c r="U557" s="42">
        <v>0</v>
      </c>
    </row>
    <row r="558" spans="1:21" ht="18.75" x14ac:dyDescent="0.25">
      <c r="A558" s="142"/>
      <c r="B558" s="36"/>
      <c r="C558" s="36"/>
      <c r="D558" s="36"/>
      <c r="E558" s="43" t="s">
        <v>37</v>
      </c>
      <c r="F558" s="36"/>
      <c r="G558" s="38"/>
      <c r="H558" s="148" t="s">
        <v>14</v>
      </c>
      <c r="I558" s="149"/>
      <c r="J558" s="149"/>
      <c r="K558" s="150"/>
      <c r="L558" s="42">
        <f ca="1">IFERROR(__xludf.DUMMYFUNCTION("IMPORTRANGE(""https://docs.google.com/spreadsheets/d/12pGRKgvn2b31Uz_fjAl3XPzZUM_F2_O-zAHL2XHEPZg/edit?usp=sharing"",""รวมเหนือ!L560"")+IMPORTRANGE(""https://docs.google.com/spreadsheets/d/1c0UfJUA6nE6esVMy0kRcX_PENtt96DMxicQpqi3tips/edit?usp=sharing"","""&amp;"รวมตะวันออกเฉียงเหนือ!L560"")+IMPORTRANGE(""https://docs.google.com/spreadsheets/d/1iNWbYmj0agxPDl_yJgGu1eIremFPVMUuMWUKAjBzvrk/edit?usp=sharing"",""รวมกลาง!L560"")+IMPORTRANGE(""https://docs.google.com/spreadsheets/d/1uenpWDAH2bchvfvsSIjpd4bRU5D1faxJOaE3"&amp;"4GQM5-c/edit?usp=sharing"",""รวมใต้!L560"")"),0)</f>
        <v>0</v>
      </c>
      <c r="M558" s="42">
        <f ca="1">IFERROR(__xludf.DUMMYFUNCTION("IMPORTRANGE(""https://docs.google.com/spreadsheets/d/12pGRKgvn2b31Uz_fjAl3XPzZUM_F2_O-zAHL2XHEPZg/edit?usp=sharing"",""รวมเหนือ!M560"")+IMPORTRANGE(""https://docs.google.com/spreadsheets/d/1c0UfJUA6nE6esVMy0kRcX_PENtt96DMxicQpqi3tips/edit?usp=sharing"","""&amp;"รวมตะวันออกเฉียงเหนือ!M560"")+IMPORTRANGE(""https://docs.google.com/spreadsheets/d/1iNWbYmj0agxPDl_yJgGu1eIremFPVMUuMWUKAjBzvrk/edit?usp=sharing"",""รวมกลาง!M560"")+IMPORTRANGE(""https://docs.google.com/spreadsheets/d/1uenpWDAH2bchvfvsSIjpd4bRU5D1faxJOaE3"&amp;"4GQM5-c/edit?usp=sharing"",""รวมใต้!M560"")"),396050)</f>
        <v>396050</v>
      </c>
      <c r="N558" s="42">
        <f ca="1">IFERROR(__xludf.DUMMYFUNCTION("IMPORTRANGE(""https://docs.google.com/spreadsheets/d/12pGRKgvn2b31Uz_fjAl3XPzZUM_F2_O-zAHL2XHEPZg/edit?usp=sharing"",""รวมเหนือ!N560"")+IMPORTRANGE(""https://docs.google.com/spreadsheets/d/1c0UfJUA6nE6esVMy0kRcX_PENtt96DMxicQpqi3tips/edit?usp=sharing"","""&amp;"รวมตะวันออกเฉียงเหนือ!N560"")+IMPORTRANGE(""https://docs.google.com/spreadsheets/d/1iNWbYmj0agxPDl_yJgGu1eIremFPVMUuMWUKAjBzvrk/edit?usp=sharing"",""รวมกลาง!N560"")+IMPORTRANGE(""https://docs.google.com/spreadsheets/d/1uenpWDAH2bchvfvsSIjpd4bRU5D1faxJOaE3"&amp;"4GQM5-c/edit?usp=sharing"",""รวมใต้!N560"")"),322600)</f>
        <v>322600</v>
      </c>
      <c r="O558" s="42">
        <f t="shared" ca="1" si="369"/>
        <v>0</v>
      </c>
      <c r="P558" s="42">
        <f t="shared" ca="1" si="370"/>
        <v>81.454361823002145</v>
      </c>
      <c r="Q558" s="42">
        <v>0</v>
      </c>
      <c r="R558" s="42">
        <v>0</v>
      </c>
      <c r="S558" s="42">
        <v>0</v>
      </c>
      <c r="T558" s="42">
        <v>0</v>
      </c>
      <c r="U558" s="42">
        <v>0</v>
      </c>
    </row>
    <row r="559" spans="1:21" ht="18.75" x14ac:dyDescent="0.25">
      <c r="A559" s="142"/>
      <c r="B559" s="36"/>
      <c r="C559" s="36"/>
      <c r="D559" s="37" t="s">
        <v>23</v>
      </c>
      <c r="E559" s="36"/>
      <c r="F559" s="36"/>
      <c r="G559" s="38"/>
      <c r="H559" s="151" t="s">
        <v>14</v>
      </c>
      <c r="I559" s="149"/>
      <c r="J559" s="149"/>
      <c r="K559" s="150"/>
      <c r="L559" s="42">
        <f t="shared" ref="L559:N559" ca="1" si="380">L560+L561</f>
        <v>19661600</v>
      </c>
      <c r="M559" s="42">
        <f t="shared" ca="1" si="380"/>
        <v>13728288</v>
      </c>
      <c r="N559" s="42">
        <f t="shared" ca="1" si="380"/>
        <v>13574288</v>
      </c>
      <c r="O559" s="42">
        <f t="shared" ca="1" si="369"/>
        <v>69.039589860438625</v>
      </c>
      <c r="P559" s="42">
        <f t="shared" ca="1" si="370"/>
        <v>98.878228661869571</v>
      </c>
      <c r="Q559" s="42">
        <f t="shared" ref="Q559:S559" si="381">Q560+Q561</f>
        <v>0</v>
      </c>
      <c r="R559" s="42">
        <f t="shared" si="381"/>
        <v>0</v>
      </c>
      <c r="S559" s="42">
        <f t="shared" si="381"/>
        <v>0</v>
      </c>
      <c r="T559" s="42">
        <f>IF(Q559&gt;0,S559*100/Q559,0)</f>
        <v>0</v>
      </c>
      <c r="U559" s="42">
        <f>IF(R559&gt;0,S559*100/R559,0)</f>
        <v>0</v>
      </c>
    </row>
    <row r="560" spans="1:21" ht="18.75" x14ac:dyDescent="0.25">
      <c r="A560" s="142"/>
      <c r="B560" s="36"/>
      <c r="C560" s="36"/>
      <c r="D560" s="36"/>
      <c r="E560" s="43" t="s">
        <v>20</v>
      </c>
      <c r="F560" s="36"/>
      <c r="G560" s="38"/>
      <c r="H560" s="148" t="s">
        <v>14</v>
      </c>
      <c r="I560" s="149"/>
      <c r="J560" s="149"/>
      <c r="K560" s="150"/>
      <c r="L560" s="42">
        <f ca="1">IFERROR(__xludf.DUMMYFUNCTION("IMPORTRANGE(""https://docs.google.com/spreadsheets/d/1-uDff_7J0KD5mKrp0Vvzr7lt3OU09vwQwhkpOPPYv2Y/edit?usp=sharing"",""งบพรบ!GJ9"")"),0)</f>
        <v>0</v>
      </c>
      <c r="M560" s="42">
        <f ca="1">IFERROR(__xludf.DUMMYFUNCTION("IMPORTRANGE(""https://docs.google.com/spreadsheets/d/1-uDff_7J0KD5mKrp0Vvzr7lt3OU09vwQwhkpOPPYv2Y/edit?usp=sharing"",""งบพรบ!GM9"")"),0)</f>
        <v>0</v>
      </c>
      <c r="N560" s="42">
        <f ca="1">IFERROR(__xludf.DUMMYFUNCTION("IMPORTRANGE(""https://docs.google.com/spreadsheets/d/1-uDff_7J0KD5mKrp0Vvzr7lt3OU09vwQwhkpOPPYv2Y/edit?usp=sharing"",""งบพรบ!GO9"")"),0)</f>
        <v>0</v>
      </c>
      <c r="O560" s="42">
        <f t="shared" ca="1" si="369"/>
        <v>0</v>
      </c>
      <c r="P560" s="42">
        <f t="shared" ca="1" si="370"/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</row>
    <row r="561" spans="1:21" ht="18.75" x14ac:dyDescent="0.25">
      <c r="A561" s="142"/>
      <c r="B561" s="36"/>
      <c r="C561" s="36"/>
      <c r="D561" s="36"/>
      <c r="E561" s="43" t="s">
        <v>21</v>
      </c>
      <c r="F561" s="36"/>
      <c r="G561" s="38"/>
      <c r="H561" s="151" t="s">
        <v>14</v>
      </c>
      <c r="I561" s="149"/>
      <c r="J561" s="149"/>
      <c r="K561" s="150"/>
      <c r="L561" s="42">
        <f ca="1">IFERROR(__xludf.DUMMYFUNCTION("IMPORTRANGE(""https://docs.google.com/spreadsheets/d/12pGRKgvn2b31Uz_fjAl3XPzZUM_F2_O-zAHL2XHEPZg/edit?usp=sharing"",""รวมเหนือ!L563"")+IMPORTRANGE(""https://docs.google.com/spreadsheets/d/1c0UfJUA6nE6esVMy0kRcX_PENtt96DMxicQpqi3tips/edit?usp=sharing"","""&amp;"รวมตะวันออกเฉียงเหนือ!L563"")+IMPORTRANGE(""https://docs.google.com/spreadsheets/d/1iNWbYmj0agxPDl_yJgGu1eIremFPVMUuMWUKAjBzvrk/edit?usp=sharing"",""รวมกลาง!L563"")+IMPORTRANGE(""https://docs.google.com/spreadsheets/d/1uenpWDAH2bchvfvsSIjpd4bRU5D1faxJOaE3"&amp;"4GQM5-c/edit?usp=sharing"",""รวมใต้!L563"")"),19661600)</f>
        <v>19661600</v>
      </c>
      <c r="M561" s="42">
        <f ca="1">IFERROR(__xludf.DUMMYFUNCTION("IMPORTRANGE(""https://docs.google.com/spreadsheets/d/12pGRKgvn2b31Uz_fjAl3XPzZUM_F2_O-zAHL2XHEPZg/edit?usp=sharing"",""รวมเหนือ!M563"")+IMPORTRANGE(""https://docs.google.com/spreadsheets/d/1c0UfJUA6nE6esVMy0kRcX_PENtt96DMxicQpqi3tips/edit?usp=sharing"","""&amp;"รวมตะวันออกเฉียงเหนือ!M563"")+IMPORTRANGE(""https://docs.google.com/spreadsheets/d/1iNWbYmj0agxPDl_yJgGu1eIremFPVMUuMWUKAjBzvrk/edit?usp=sharing"",""รวมกลาง!M563"")+IMPORTRANGE(""https://docs.google.com/spreadsheets/d/1uenpWDAH2bchvfvsSIjpd4bRU5D1faxJOaE3"&amp;"4GQM5-c/edit?usp=sharing"",""รวมใต้!M563"")"),13728288)</f>
        <v>13728288</v>
      </c>
      <c r="N561" s="42">
        <f ca="1">IFERROR(__xludf.DUMMYFUNCTION("IMPORTRANGE(""https://docs.google.com/spreadsheets/d/12pGRKgvn2b31Uz_fjAl3XPzZUM_F2_O-zAHL2XHEPZg/edit?usp=sharing"",""รวมเหนือ!N563"")+IMPORTRANGE(""https://docs.google.com/spreadsheets/d/1c0UfJUA6nE6esVMy0kRcX_PENtt96DMxicQpqi3tips/edit?usp=sharing"","""&amp;"รวมตะวันออกเฉียงเหนือ!N563"")+IMPORTRANGE(""https://docs.google.com/spreadsheets/d/1iNWbYmj0agxPDl_yJgGu1eIremFPVMUuMWUKAjBzvrk/edit?usp=sharing"",""รวมกลาง!N563"")+IMPORTRANGE(""https://docs.google.com/spreadsheets/d/1uenpWDAH2bchvfvsSIjpd4bRU5D1faxJOaE3"&amp;"4GQM5-c/edit?usp=sharing"",""รวมใต้!N563"")"),13574288)</f>
        <v>13574288</v>
      </c>
      <c r="O561" s="42">
        <f t="shared" ca="1" si="369"/>
        <v>69.039589860438625</v>
      </c>
      <c r="P561" s="42">
        <f t="shared" ca="1" si="370"/>
        <v>98.878228661869571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</row>
    <row r="562" spans="1:21" ht="19.5" x14ac:dyDescent="0.3">
      <c r="A562" s="152"/>
      <c r="B562" s="153"/>
      <c r="C562" s="143" t="s">
        <v>18</v>
      </c>
      <c r="D562" s="154" t="s">
        <v>38</v>
      </c>
      <c r="E562" s="155"/>
      <c r="F562" s="155"/>
      <c r="G562" s="156"/>
      <c r="H562" s="157"/>
      <c r="I562" s="149"/>
      <c r="J562" s="40"/>
      <c r="K562" s="41"/>
      <c r="L562" s="41"/>
      <c r="M562" s="41"/>
      <c r="N562" s="41"/>
      <c r="O562" s="150"/>
      <c r="P562" s="150"/>
      <c r="Q562" s="41"/>
      <c r="R562" s="41"/>
      <c r="S562" s="41"/>
      <c r="T562" s="150"/>
      <c r="U562" s="150"/>
    </row>
    <row r="563" spans="1:21" ht="18.75" x14ac:dyDescent="0.25">
      <c r="A563" s="213"/>
      <c r="B563" s="36"/>
      <c r="C563" s="170"/>
      <c r="D563" s="163" t="s">
        <v>220</v>
      </c>
      <c r="E563" s="170"/>
      <c r="F563" s="36"/>
      <c r="G563" s="38"/>
      <c r="H563" s="147" t="s">
        <v>61</v>
      </c>
      <c r="I563" s="94">
        <f ca="1">IFERROR(__xludf.DUMMYFUNCTION("IMPORTRANGE(""https://docs.google.com/spreadsheets/d/12pGRKgvn2b31Uz_fjAl3XPzZUM_F2_O-zAHL2XHEPZg/edit?usp=sharing"",""รวมเหนือ!I565"")+IMPORTRANGE(""https://docs.google.com/spreadsheets/d/1c0UfJUA6nE6esVMy0kRcX_PENtt96DMxicQpqi3tips/edit?usp=sharing"","""&amp;"รวมตะวันออกเฉียงเหนือ!I565"")+IMPORTRANGE(""https://docs.google.com/spreadsheets/d/1iNWbYmj0agxPDl_yJgGu1eIremFPVMUuMWUKAjBzvrk/edit?usp=sharing"",""รวมกลาง!I565"")+IMPORTRANGE(""https://docs.google.com/spreadsheets/d/1uenpWDAH2bchvfvsSIjpd4bRU5D1faxJOaE3"&amp;"4GQM5-c/edit?usp=sharing"",""รวมใต้!I565"")"),19)</f>
        <v>19</v>
      </c>
      <c r="J563" s="94">
        <v>6</v>
      </c>
      <c r="K563" s="45">
        <f ca="1">IF(I563&gt;0,J563*100/I563,0)</f>
        <v>31.578947368421051</v>
      </c>
      <c r="L563" s="41"/>
      <c r="M563" s="41"/>
      <c r="N563" s="41"/>
      <c r="O563" s="41"/>
      <c r="P563" s="41"/>
      <c r="Q563" s="41"/>
      <c r="R563" s="41"/>
      <c r="S563" s="41"/>
      <c r="T563" s="41"/>
      <c r="U563" s="41"/>
    </row>
    <row r="564" spans="1:21" ht="12.75" hidden="1" x14ac:dyDescent="0.2">
      <c r="A564" s="235"/>
      <c r="B564" s="238"/>
      <c r="C564" s="236"/>
      <c r="D564" s="238"/>
      <c r="E564" s="236"/>
      <c r="F564" s="238"/>
      <c r="G564" s="239"/>
      <c r="H564" s="239"/>
      <c r="I564" s="241"/>
      <c r="J564" s="241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</row>
    <row r="565" spans="1:21" ht="12.75" hidden="1" x14ac:dyDescent="0.2">
      <c r="A565" s="235"/>
      <c r="B565" s="236"/>
      <c r="C565" s="236"/>
      <c r="D565" s="238"/>
      <c r="E565" s="238"/>
      <c r="F565" s="238"/>
      <c r="G565" s="239"/>
      <c r="H565" s="328"/>
      <c r="I565" s="241"/>
      <c r="J565" s="241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</row>
    <row r="566" spans="1:21" ht="12.75" hidden="1" x14ac:dyDescent="0.2">
      <c r="A566" s="235"/>
      <c r="B566" s="236"/>
      <c r="C566" s="236"/>
      <c r="D566" s="238"/>
      <c r="E566" s="238"/>
      <c r="F566" s="238"/>
      <c r="G566" s="239"/>
      <c r="H566" s="328"/>
      <c r="I566" s="241"/>
      <c r="J566" s="241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</row>
    <row r="567" spans="1:21" ht="12.75" hidden="1" x14ac:dyDescent="0.2">
      <c r="A567" s="235"/>
      <c r="B567" s="236"/>
      <c r="C567" s="236"/>
      <c r="D567" s="238"/>
      <c r="E567" s="238"/>
      <c r="F567" s="238"/>
      <c r="G567" s="239"/>
      <c r="H567" s="328"/>
      <c r="I567" s="241"/>
      <c r="J567" s="241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</row>
    <row r="568" spans="1:21" ht="12.75" hidden="1" x14ac:dyDescent="0.2">
      <c r="A568" s="235"/>
      <c r="B568" s="236"/>
      <c r="C568" s="236"/>
      <c r="D568" s="238"/>
      <c r="E568" s="238"/>
      <c r="F568" s="238"/>
      <c r="G568" s="239"/>
      <c r="H568" s="328"/>
      <c r="I568" s="241"/>
      <c r="J568" s="241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</row>
    <row r="569" spans="1:21" ht="12.75" hidden="1" x14ac:dyDescent="0.2">
      <c r="A569" s="235"/>
      <c r="B569" s="236"/>
      <c r="C569" s="236"/>
      <c r="D569" s="238"/>
      <c r="E569" s="238"/>
      <c r="F569" s="238"/>
      <c r="G569" s="239"/>
      <c r="H569" s="328"/>
      <c r="I569" s="241"/>
      <c r="J569" s="241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</row>
    <row r="570" spans="1:21" ht="12.75" hidden="1" x14ac:dyDescent="0.2">
      <c r="A570" s="235"/>
      <c r="B570" s="236"/>
      <c r="C570" s="236"/>
      <c r="D570" s="238"/>
      <c r="E570" s="238"/>
      <c r="F570" s="238"/>
      <c r="G570" s="239"/>
      <c r="H570" s="328"/>
      <c r="I570" s="241"/>
      <c r="J570" s="241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</row>
    <row r="571" spans="1:21" ht="12.75" hidden="1" x14ac:dyDescent="0.2">
      <c r="A571" s="235"/>
      <c r="B571" s="236"/>
      <c r="C571" s="236"/>
      <c r="D571" s="238"/>
      <c r="E571" s="238"/>
      <c r="F571" s="238"/>
      <c r="G571" s="239"/>
      <c r="H571" s="328"/>
      <c r="I571" s="241"/>
      <c r="J571" s="241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</row>
    <row r="572" spans="1:21" ht="12.75" hidden="1" x14ac:dyDescent="0.2">
      <c r="A572" s="329"/>
      <c r="B572" s="330"/>
      <c r="C572" s="330"/>
      <c r="D572" s="384"/>
      <c r="E572" s="384"/>
      <c r="F572" s="384"/>
      <c r="G572" s="385"/>
      <c r="H572" s="331"/>
      <c r="I572" s="332"/>
      <c r="J572" s="332"/>
      <c r="K572" s="333"/>
      <c r="L572" s="333"/>
      <c r="M572" s="333"/>
      <c r="N572" s="333"/>
      <c r="O572" s="333"/>
      <c r="P572" s="333"/>
      <c r="Q572" s="333"/>
      <c r="R572" s="333"/>
      <c r="S572" s="333"/>
      <c r="T572" s="333"/>
      <c r="U572" s="333"/>
    </row>
    <row r="573" spans="1:21" ht="19.5" x14ac:dyDescent="0.3">
      <c r="A573" s="372"/>
      <c r="B573" s="373" t="s">
        <v>221</v>
      </c>
      <c r="C573" s="374"/>
      <c r="D573" s="375"/>
      <c r="E573" s="375"/>
      <c r="F573" s="375"/>
      <c r="G573" s="376"/>
      <c r="H573" s="386" t="s">
        <v>61</v>
      </c>
      <c r="I573" s="387">
        <f t="shared" ref="I573:J573" ca="1" si="382">I585</f>
        <v>153</v>
      </c>
      <c r="J573" s="387">
        <f t="shared" ca="1" si="382"/>
        <v>153</v>
      </c>
      <c r="K573" s="379">
        <f ca="1">IF(I573&gt;0,J573*100/I573,0)</f>
        <v>100</v>
      </c>
      <c r="L573" s="380"/>
      <c r="M573" s="380"/>
      <c r="N573" s="380"/>
      <c r="O573" s="380"/>
      <c r="P573" s="380"/>
      <c r="Q573" s="380"/>
      <c r="R573" s="380"/>
      <c r="S573" s="380"/>
      <c r="T573" s="380"/>
      <c r="U573" s="380"/>
    </row>
    <row r="574" spans="1:21" ht="19.5" x14ac:dyDescent="0.3">
      <c r="A574" s="142"/>
      <c r="B574" s="36"/>
      <c r="C574" s="143" t="s">
        <v>18</v>
      </c>
      <c r="D574" s="144" t="s">
        <v>19</v>
      </c>
      <c r="E574" s="36"/>
      <c r="F574" s="36"/>
      <c r="G574" s="38"/>
      <c r="H574" s="145" t="s">
        <v>14</v>
      </c>
      <c r="I574" s="40"/>
      <c r="J574" s="40"/>
      <c r="K574" s="41"/>
      <c r="L574" s="146">
        <f t="shared" ref="L574:N574" ca="1" si="383">L575+L576</f>
        <v>8579000</v>
      </c>
      <c r="M574" s="146">
        <f t="shared" ca="1" si="383"/>
        <v>8579000</v>
      </c>
      <c r="N574" s="146">
        <f t="shared" ca="1" si="383"/>
        <v>8457180.4900000002</v>
      </c>
      <c r="O574" s="146">
        <f t="shared" ref="O574:O582" ca="1" si="384">IF(L574&gt;0,N574*100/L574,0)</f>
        <v>98.580026693087774</v>
      </c>
      <c r="P574" s="146">
        <f t="shared" ref="P574:P582" ca="1" si="385">IF(M574&gt;0,N574*100/M574,0)</f>
        <v>98.580026693087774</v>
      </c>
      <c r="Q574" s="146">
        <f t="shared" ref="Q574:S574" si="386">Q575+Q576</f>
        <v>0</v>
      </c>
      <c r="R574" s="146">
        <f t="shared" si="386"/>
        <v>0</v>
      </c>
      <c r="S574" s="146">
        <f t="shared" si="386"/>
        <v>0</v>
      </c>
      <c r="T574" s="146">
        <f t="shared" ref="T574:T577" si="387">IF(Q574&gt;0,S574*100/Q574,0)</f>
        <v>0</v>
      </c>
      <c r="U574" s="146">
        <f t="shared" ref="U574:U577" si="388">IF(R574&gt;0,S574*100/R574,0)</f>
        <v>0</v>
      </c>
    </row>
    <row r="575" spans="1:21" ht="18.75" x14ac:dyDescent="0.25">
      <c r="A575" s="142"/>
      <c r="B575" s="170"/>
      <c r="C575" s="36"/>
      <c r="D575" s="36"/>
      <c r="E575" s="43" t="s">
        <v>20</v>
      </c>
      <c r="F575" s="36"/>
      <c r="G575" s="38"/>
      <c r="H575" s="147" t="s">
        <v>14</v>
      </c>
      <c r="I575" s="40"/>
      <c r="J575" s="40"/>
      <c r="K575" s="41"/>
      <c r="L575" s="42">
        <f t="shared" ref="L575:N575" ca="1" si="389">L578+L581</f>
        <v>29776</v>
      </c>
      <c r="M575" s="42">
        <f t="shared" ca="1" si="389"/>
        <v>147064.9</v>
      </c>
      <c r="N575" s="42">
        <f t="shared" ca="1" si="389"/>
        <v>123753</v>
      </c>
      <c r="O575" s="42">
        <f t="shared" ca="1" si="384"/>
        <v>415.61324556689954</v>
      </c>
      <c r="P575" s="42">
        <f t="shared" ca="1" si="385"/>
        <v>84.148562981377609</v>
      </c>
      <c r="Q575" s="42">
        <f t="shared" ref="Q575:S575" si="390">Q578+Q581</f>
        <v>0</v>
      </c>
      <c r="R575" s="42">
        <f t="shared" si="390"/>
        <v>0</v>
      </c>
      <c r="S575" s="42">
        <f t="shared" si="390"/>
        <v>0</v>
      </c>
      <c r="T575" s="42">
        <f t="shared" si="387"/>
        <v>0</v>
      </c>
      <c r="U575" s="42">
        <f t="shared" si="388"/>
        <v>0</v>
      </c>
    </row>
    <row r="576" spans="1:21" ht="18.75" x14ac:dyDescent="0.25">
      <c r="A576" s="142"/>
      <c r="B576" s="36"/>
      <c r="C576" s="170"/>
      <c r="D576" s="36"/>
      <c r="E576" s="214" t="s">
        <v>21</v>
      </c>
      <c r="F576" s="36"/>
      <c r="G576" s="38"/>
      <c r="H576" s="147" t="s">
        <v>14</v>
      </c>
      <c r="I576" s="40"/>
      <c r="J576" s="40"/>
      <c r="K576" s="41"/>
      <c r="L576" s="42">
        <f t="shared" ref="L576:N576" ca="1" si="391">L579+L582</f>
        <v>8549224</v>
      </c>
      <c r="M576" s="42">
        <f t="shared" ca="1" si="391"/>
        <v>8431935.0999999996</v>
      </c>
      <c r="N576" s="42">
        <f t="shared" ca="1" si="391"/>
        <v>8333427.4900000002</v>
      </c>
      <c r="O576" s="42">
        <f t="shared" ca="1" si="384"/>
        <v>97.475835116731062</v>
      </c>
      <c r="P576" s="42">
        <f t="shared" ca="1" si="385"/>
        <v>98.831731876114659</v>
      </c>
      <c r="Q576" s="42">
        <f t="shared" ref="Q576:S576" si="392">Q579+Q582</f>
        <v>0</v>
      </c>
      <c r="R576" s="42">
        <f t="shared" si="392"/>
        <v>0</v>
      </c>
      <c r="S576" s="42">
        <f t="shared" si="392"/>
        <v>0</v>
      </c>
      <c r="T576" s="42">
        <f t="shared" si="387"/>
        <v>0</v>
      </c>
      <c r="U576" s="42">
        <f t="shared" si="388"/>
        <v>0</v>
      </c>
    </row>
    <row r="577" spans="1:21" ht="18.75" x14ac:dyDescent="0.25">
      <c r="A577" s="142"/>
      <c r="B577" s="36"/>
      <c r="C577" s="170"/>
      <c r="D577" s="37" t="s">
        <v>22</v>
      </c>
      <c r="E577" s="170"/>
      <c r="F577" s="36"/>
      <c r="G577" s="38"/>
      <c r="H577" s="148" t="s">
        <v>14</v>
      </c>
      <c r="I577" s="149"/>
      <c r="J577" s="149"/>
      <c r="K577" s="150"/>
      <c r="L577" s="42">
        <f t="shared" ref="L577:N577" ca="1" si="393">L578+L579</f>
        <v>8579000</v>
      </c>
      <c r="M577" s="42">
        <f t="shared" ca="1" si="393"/>
        <v>8579000</v>
      </c>
      <c r="N577" s="42">
        <f t="shared" ca="1" si="393"/>
        <v>8457180.4900000002</v>
      </c>
      <c r="O577" s="42">
        <f t="shared" ca="1" si="384"/>
        <v>98.580026693087774</v>
      </c>
      <c r="P577" s="42">
        <f t="shared" ca="1" si="385"/>
        <v>98.580026693087774</v>
      </c>
      <c r="Q577" s="42">
        <f t="shared" ref="Q577:S577" si="394">Q578+Q579</f>
        <v>0</v>
      </c>
      <c r="R577" s="42">
        <f t="shared" si="394"/>
        <v>0</v>
      </c>
      <c r="S577" s="42">
        <f t="shared" si="394"/>
        <v>0</v>
      </c>
      <c r="T577" s="42">
        <f t="shared" si="387"/>
        <v>0</v>
      </c>
      <c r="U577" s="42">
        <f t="shared" si="388"/>
        <v>0</v>
      </c>
    </row>
    <row r="578" spans="1:21" ht="18.75" x14ac:dyDescent="0.25">
      <c r="A578" s="142"/>
      <c r="B578" s="36"/>
      <c r="C578" s="36"/>
      <c r="D578" s="36"/>
      <c r="E578" s="43" t="s">
        <v>36</v>
      </c>
      <c r="F578" s="36"/>
      <c r="G578" s="38"/>
      <c r="H578" s="148" t="s">
        <v>14</v>
      </c>
      <c r="I578" s="149"/>
      <c r="J578" s="149"/>
      <c r="K578" s="150"/>
      <c r="L578" s="42">
        <f ca="1">IFERROR(__xludf.DUMMYFUNCTION("IMPORTRANGE(""https://docs.google.com/spreadsheets/d/1-uDff_7J0KD5mKrp0Vvzr7lt3OU09vwQwhkpOPPYv2Y/edit?usp=sharing"",""งบพรบ!GQ9"")"),29776)</f>
        <v>29776</v>
      </c>
      <c r="M578" s="42">
        <f ca="1">IFERROR(__xludf.DUMMYFUNCTION("IMPORTRANGE(""https://docs.google.com/spreadsheets/d/1-uDff_7J0KD5mKrp0Vvzr7lt3OU09vwQwhkpOPPYv2Y/edit?usp=sharing"",""งบพรบ!GV9"")"),147064.9)</f>
        <v>147064.9</v>
      </c>
      <c r="N578" s="42">
        <f ca="1">IFERROR(__xludf.DUMMYFUNCTION("IMPORTRANGE(""https://docs.google.com/spreadsheets/d/1-uDff_7J0KD5mKrp0Vvzr7lt3OU09vwQwhkpOPPYv2Y/edit?usp=sharing"",""งบพรบ!GX9"")"),123753)</f>
        <v>123753</v>
      </c>
      <c r="O578" s="42">
        <f t="shared" ca="1" si="384"/>
        <v>415.61324556689954</v>
      </c>
      <c r="P578" s="42">
        <f t="shared" ca="1" si="385"/>
        <v>84.148562981377609</v>
      </c>
      <c r="Q578" s="42">
        <v>0</v>
      </c>
      <c r="R578" s="42">
        <v>0</v>
      </c>
      <c r="S578" s="42">
        <v>0</v>
      </c>
      <c r="T578" s="42">
        <v>0</v>
      </c>
      <c r="U578" s="42">
        <v>0</v>
      </c>
    </row>
    <row r="579" spans="1:21" ht="18.75" x14ac:dyDescent="0.25">
      <c r="A579" s="142"/>
      <c r="B579" s="36"/>
      <c r="C579" s="36"/>
      <c r="D579" s="36"/>
      <c r="E579" s="43" t="s">
        <v>37</v>
      </c>
      <c r="F579" s="36"/>
      <c r="G579" s="38"/>
      <c r="H579" s="148" t="s">
        <v>14</v>
      </c>
      <c r="I579" s="149"/>
      <c r="J579" s="149"/>
      <c r="K579" s="150"/>
      <c r="L579" s="42">
        <f ca="1">IFERROR(__xludf.DUMMYFUNCTION("IMPORTRANGE(""https://docs.google.com/spreadsheets/d/12pGRKgvn2b31Uz_fjAl3XPzZUM_F2_O-zAHL2XHEPZg/edit?usp=sharing"",""รวมเหนือ!L581"")+IMPORTRANGE(""https://docs.google.com/spreadsheets/d/1c0UfJUA6nE6esVMy0kRcX_PENtt96DMxicQpqi3tips/edit?usp=sharing"","""&amp;"รวมตะวันออกเฉียงเหนือ!L581"")+IMPORTRANGE(""https://docs.google.com/spreadsheets/d/1iNWbYmj0agxPDl_yJgGu1eIremFPVMUuMWUKAjBzvrk/edit?usp=sharing"",""รวมกลาง!L581"")+IMPORTRANGE(""https://docs.google.com/spreadsheets/d/1uenpWDAH2bchvfvsSIjpd4bRU5D1faxJOaE3"&amp;"4GQM5-c/edit?usp=sharing"",""รวมใต้!L581"")"),8549224)</f>
        <v>8549224</v>
      </c>
      <c r="M579" s="42">
        <f ca="1">IFERROR(__xludf.DUMMYFUNCTION("IMPORTRANGE(""https://docs.google.com/spreadsheets/d/12pGRKgvn2b31Uz_fjAl3XPzZUM_F2_O-zAHL2XHEPZg/edit?usp=sharing"",""รวมเหนือ!M581"")+IMPORTRANGE(""https://docs.google.com/spreadsheets/d/1c0UfJUA6nE6esVMy0kRcX_PENtt96DMxicQpqi3tips/edit?usp=sharing"","""&amp;"รวมตะวันออกเฉียงเหนือ!M581"")+IMPORTRANGE(""https://docs.google.com/spreadsheets/d/1iNWbYmj0agxPDl_yJgGu1eIremFPVMUuMWUKAjBzvrk/edit?usp=sharing"",""รวมกลาง!M581"")+IMPORTRANGE(""https://docs.google.com/spreadsheets/d/1uenpWDAH2bchvfvsSIjpd4bRU5D1faxJOaE3"&amp;"4GQM5-c/edit?usp=sharing"",""รวมใต้!M581"")"),8431935.1)</f>
        <v>8431935.0999999996</v>
      </c>
      <c r="N579" s="42">
        <f ca="1">IFERROR(__xludf.DUMMYFUNCTION("IMPORTRANGE(""https://docs.google.com/spreadsheets/d/12pGRKgvn2b31Uz_fjAl3XPzZUM_F2_O-zAHL2XHEPZg/edit?usp=sharing"",""รวมเหนือ!N581"")+IMPORTRANGE(""https://docs.google.com/spreadsheets/d/1c0UfJUA6nE6esVMy0kRcX_PENtt96DMxicQpqi3tips/edit?usp=sharing"","""&amp;"รวมตะวันออกเฉียงเหนือ!N581"")+IMPORTRANGE(""https://docs.google.com/spreadsheets/d/1iNWbYmj0agxPDl_yJgGu1eIremFPVMUuMWUKAjBzvrk/edit?usp=sharing"",""รวมกลาง!N581"")+IMPORTRANGE(""https://docs.google.com/spreadsheets/d/1uenpWDAH2bchvfvsSIjpd4bRU5D1faxJOaE3"&amp;"4GQM5-c/edit?usp=sharing"",""รวมใต้!N581"")"),8333427.49)</f>
        <v>8333427.4900000002</v>
      </c>
      <c r="O579" s="42">
        <f t="shared" ca="1" si="384"/>
        <v>97.475835116731062</v>
      </c>
      <c r="P579" s="42">
        <f t="shared" ca="1" si="385"/>
        <v>98.831731876114659</v>
      </c>
      <c r="Q579" s="42">
        <v>0</v>
      </c>
      <c r="R579" s="42">
        <v>0</v>
      </c>
      <c r="S579" s="42">
        <v>0</v>
      </c>
      <c r="T579" s="42">
        <v>0</v>
      </c>
      <c r="U579" s="42">
        <v>0</v>
      </c>
    </row>
    <row r="580" spans="1:21" ht="18.75" x14ac:dyDescent="0.25">
      <c r="A580" s="142"/>
      <c r="B580" s="36"/>
      <c r="C580" s="36"/>
      <c r="D580" s="37" t="s">
        <v>23</v>
      </c>
      <c r="E580" s="36"/>
      <c r="F580" s="36"/>
      <c r="G580" s="38"/>
      <c r="H580" s="151" t="s">
        <v>14</v>
      </c>
      <c r="I580" s="149"/>
      <c r="J580" s="149"/>
      <c r="K580" s="150"/>
      <c r="L580" s="42">
        <f t="shared" ref="L580:N580" ca="1" si="395">L581+L582</f>
        <v>0</v>
      </c>
      <c r="M580" s="42">
        <f t="shared" ca="1" si="395"/>
        <v>0</v>
      </c>
      <c r="N580" s="42">
        <f t="shared" ca="1" si="395"/>
        <v>0</v>
      </c>
      <c r="O580" s="42">
        <f t="shared" ca="1" si="384"/>
        <v>0</v>
      </c>
      <c r="P580" s="42">
        <f t="shared" ca="1" si="385"/>
        <v>0</v>
      </c>
      <c r="Q580" s="42">
        <f t="shared" ref="Q580:S580" si="396">Q581+Q582</f>
        <v>0</v>
      </c>
      <c r="R580" s="42">
        <f t="shared" si="396"/>
        <v>0</v>
      </c>
      <c r="S580" s="42">
        <f t="shared" si="396"/>
        <v>0</v>
      </c>
      <c r="T580" s="42">
        <f>IF(Q580&gt;0,S580*100/Q580,0)</f>
        <v>0</v>
      </c>
      <c r="U580" s="42">
        <f>IF(R580&gt;0,S580*100/R580,0)</f>
        <v>0</v>
      </c>
    </row>
    <row r="581" spans="1:21" ht="18.75" x14ac:dyDescent="0.25">
      <c r="A581" s="142"/>
      <c r="B581" s="36"/>
      <c r="C581" s="36"/>
      <c r="D581" s="36"/>
      <c r="E581" s="43" t="s">
        <v>20</v>
      </c>
      <c r="F581" s="36"/>
      <c r="G581" s="38"/>
      <c r="H581" s="148" t="s">
        <v>14</v>
      </c>
      <c r="I581" s="149"/>
      <c r="J581" s="149"/>
      <c r="K581" s="150"/>
      <c r="L581" s="42">
        <f ca="1">IFERROR(__xludf.DUMMYFUNCTION("IMPORTRANGE(""https://docs.google.com/spreadsheets/d/1-uDff_7J0KD5mKrp0Vvzr7lt3OU09vwQwhkpOPPYv2Y/edit?usp=sharing"",""งบพรบ!GT9"")"),0)</f>
        <v>0</v>
      </c>
      <c r="M581" s="42">
        <f ca="1">IFERROR(__xludf.DUMMYFUNCTION("IMPORTRANGE(""https://docs.google.com/spreadsheets/d/1-uDff_7J0KD5mKrp0Vvzr7lt3OU09vwQwhkpOPPYv2Y/edit?usp=sharing"",""งบพรบ!GW9"")"),0)</f>
        <v>0</v>
      </c>
      <c r="N581" s="42">
        <f ca="1">IFERROR(__xludf.DUMMYFUNCTION("IMPORTRANGE(""https://docs.google.com/spreadsheets/d/1-uDff_7J0KD5mKrp0Vvzr7lt3OU09vwQwhkpOPPYv2Y/edit?usp=sharing"",""งบพรบ!GY9"")"),0)</f>
        <v>0</v>
      </c>
      <c r="O581" s="42">
        <f t="shared" ca="1" si="384"/>
        <v>0</v>
      </c>
      <c r="P581" s="42">
        <f t="shared" ca="1" si="385"/>
        <v>0</v>
      </c>
      <c r="Q581" s="42">
        <v>0</v>
      </c>
      <c r="R581" s="42">
        <v>0</v>
      </c>
      <c r="S581" s="42">
        <v>0</v>
      </c>
      <c r="T581" s="42">
        <v>0</v>
      </c>
      <c r="U581" s="42">
        <v>0</v>
      </c>
    </row>
    <row r="582" spans="1:21" ht="18.75" x14ac:dyDescent="0.25">
      <c r="A582" s="142"/>
      <c r="B582" s="36"/>
      <c r="C582" s="36"/>
      <c r="D582" s="36"/>
      <c r="E582" s="43" t="s">
        <v>21</v>
      </c>
      <c r="F582" s="36"/>
      <c r="G582" s="38"/>
      <c r="H582" s="151" t="s">
        <v>14</v>
      </c>
      <c r="I582" s="149"/>
      <c r="J582" s="149"/>
      <c r="K582" s="150"/>
      <c r="L582" s="42">
        <f ca="1">IFERROR(__xludf.DUMMYFUNCTION("IMPORTRANGE(""https://docs.google.com/spreadsheets/d/12pGRKgvn2b31Uz_fjAl3XPzZUM_F2_O-zAHL2XHEPZg/edit?usp=sharing"",""รวมเหนือ!L584"")+IMPORTRANGE(""https://docs.google.com/spreadsheets/d/1c0UfJUA6nE6esVMy0kRcX_PENtt96DMxicQpqi3tips/edit?usp=sharing"","""&amp;"รวมตะวันออกเฉียงเหนือ!L584"")+IMPORTRANGE(""https://docs.google.com/spreadsheets/d/1iNWbYmj0agxPDl_yJgGu1eIremFPVMUuMWUKAjBzvrk/edit?usp=sharing"",""รวมกลาง!L584"")+IMPORTRANGE(""https://docs.google.com/spreadsheets/d/1uenpWDAH2bchvfvsSIjpd4bRU5D1faxJOaE3"&amp;"4GQM5-c/edit?usp=sharing"",""รวมใต้!L584"")"),0)</f>
        <v>0</v>
      </c>
      <c r="M582" s="42">
        <f ca="1">IFERROR(__xludf.DUMMYFUNCTION("IMPORTRANGE(""https://docs.google.com/spreadsheets/d/12pGRKgvn2b31Uz_fjAl3XPzZUM_F2_O-zAHL2XHEPZg/edit?usp=sharing"",""รวมเหนือ!M584"")+IMPORTRANGE(""https://docs.google.com/spreadsheets/d/1c0UfJUA6nE6esVMy0kRcX_PENtt96DMxicQpqi3tips/edit?usp=sharing"","""&amp;"รวมตะวันออกเฉียงเหนือ!M584"")+IMPORTRANGE(""https://docs.google.com/spreadsheets/d/1iNWbYmj0agxPDl_yJgGu1eIremFPVMUuMWUKAjBzvrk/edit?usp=sharing"",""รวมกลาง!M584"")+IMPORTRANGE(""https://docs.google.com/spreadsheets/d/1uenpWDAH2bchvfvsSIjpd4bRU5D1faxJOaE3"&amp;"4GQM5-c/edit?usp=sharing"",""รวมใต้!M584"")"),0)</f>
        <v>0</v>
      </c>
      <c r="N582" s="42">
        <f ca="1">IFERROR(__xludf.DUMMYFUNCTION("IMPORTRANGE(""https://docs.google.com/spreadsheets/d/12pGRKgvn2b31Uz_fjAl3XPzZUM_F2_O-zAHL2XHEPZg/edit?usp=sharing"",""รวมเหนือ!N584"")+IMPORTRANGE(""https://docs.google.com/spreadsheets/d/1c0UfJUA6nE6esVMy0kRcX_PENtt96DMxicQpqi3tips/edit?usp=sharing"","""&amp;"รวมตะวันออกเฉียงเหนือ!N584"")+IMPORTRANGE(""https://docs.google.com/spreadsheets/d/1iNWbYmj0agxPDl_yJgGu1eIremFPVMUuMWUKAjBzvrk/edit?usp=sharing"",""รวมกลาง!N584"")+IMPORTRANGE(""https://docs.google.com/spreadsheets/d/1uenpWDAH2bchvfvsSIjpd4bRU5D1faxJOaE3"&amp;"4GQM5-c/edit?usp=sharing"",""รวมใต้!N584"")"),0)</f>
        <v>0</v>
      </c>
      <c r="O582" s="42">
        <f t="shared" ca="1" si="384"/>
        <v>0</v>
      </c>
      <c r="P582" s="42">
        <f t="shared" ca="1" si="385"/>
        <v>0</v>
      </c>
      <c r="Q582" s="42">
        <v>0</v>
      </c>
      <c r="R582" s="42">
        <v>0</v>
      </c>
      <c r="S582" s="42">
        <v>0</v>
      </c>
      <c r="T582" s="42">
        <v>0</v>
      </c>
      <c r="U582" s="42">
        <v>0</v>
      </c>
    </row>
    <row r="583" spans="1:21" ht="19.5" x14ac:dyDescent="0.3">
      <c r="A583" s="152"/>
      <c r="B583" s="153"/>
      <c r="C583" s="143" t="s">
        <v>18</v>
      </c>
      <c r="D583" s="154" t="s">
        <v>38</v>
      </c>
      <c r="E583" s="155"/>
      <c r="F583" s="155"/>
      <c r="G583" s="156"/>
      <c r="H583" s="157"/>
      <c r="I583" s="149"/>
      <c r="J583" s="40"/>
      <c r="K583" s="41"/>
      <c r="L583" s="41"/>
      <c r="M583" s="41"/>
      <c r="N583" s="41"/>
      <c r="O583" s="150"/>
      <c r="P583" s="150"/>
      <c r="Q583" s="41"/>
      <c r="R583" s="41"/>
      <c r="S583" s="41"/>
      <c r="T583" s="150"/>
      <c r="U583" s="150"/>
    </row>
    <row r="584" spans="1:21" ht="18.75" x14ac:dyDescent="0.25">
      <c r="A584" s="389"/>
      <c r="B584" s="390"/>
      <c r="C584" s="391"/>
      <c r="D584" s="392" t="s">
        <v>222</v>
      </c>
      <c r="E584" s="391"/>
      <c r="F584" s="390"/>
      <c r="G584" s="393"/>
      <c r="H584" s="394" t="s">
        <v>79</v>
      </c>
      <c r="I584" s="395">
        <f ca="1">IFERROR(__xludf.DUMMYFUNCTION("IMPORTRANGE(""https://docs.google.com/spreadsheets/d/12pGRKgvn2b31Uz_fjAl3XPzZUM_F2_O-zAHL2XHEPZg/edit?usp=sharing"",""รวมเหนือ!I586"")+IMPORTRANGE(""https://docs.google.com/spreadsheets/d/1c0UfJUA6nE6esVMy0kRcX_PENtt96DMxicQpqi3tips/edit?usp=sharing"","""&amp;"รวมตะวันออกเฉียงเหนือ!I586"")+IMPORTRANGE(""https://docs.google.com/spreadsheets/d/1iNWbYmj0agxPDl_yJgGu1eIremFPVMUuMWUKAjBzvrk/edit?usp=sharing"",""รวมกลาง!I586"")+IMPORTRANGE(""https://docs.google.com/spreadsheets/d/1uenpWDAH2bchvfvsSIjpd4bRU5D1faxJOaE3"&amp;"4GQM5-c/edit?usp=sharing"",""รวมใต้!I586"")"),68)</f>
        <v>68</v>
      </c>
      <c r="J584" s="395">
        <f ca="1">IFERROR(__xludf.DUMMYFUNCTION("IMPORTRANGE(""https://docs.google.com/spreadsheets/d/12pGRKgvn2b31Uz_fjAl3XPzZUM_F2_O-zAHL2XHEPZg/edit?usp=sharing"",""รวมเหนือ!J586"")+IMPORTRANGE(""https://docs.google.com/spreadsheets/d/1c0UfJUA6nE6esVMy0kRcX_PENtt96DMxicQpqi3tips/edit?usp=sharing"","""&amp;"รวมตะวันออกเฉียงเหนือ!J586"")+IMPORTRANGE(""https://docs.google.com/spreadsheets/d/1iNWbYmj0agxPDl_yJgGu1eIremFPVMUuMWUKAjBzvrk/edit?usp=sharing"",""รวมกลาง!J586"")+IMPORTRANGE(""https://docs.google.com/spreadsheets/d/1uenpWDAH2bchvfvsSIjpd4bRU5D1faxJOaE3"&amp;"4GQM5-c/edit?usp=sharing"",""รวมใต้!J586"")"),66)</f>
        <v>66</v>
      </c>
      <c r="K584" s="396">
        <f t="shared" ref="K584:K585" ca="1" si="397">IF(I584&gt;0,J584*100/I584,0)</f>
        <v>97.058823529411768</v>
      </c>
      <c r="L584" s="397"/>
      <c r="M584" s="397"/>
      <c r="N584" s="397"/>
      <c r="O584" s="397"/>
      <c r="P584" s="397"/>
      <c r="Q584" s="397"/>
      <c r="R584" s="397"/>
      <c r="S584" s="397"/>
      <c r="T584" s="397"/>
      <c r="U584" s="397"/>
    </row>
    <row r="585" spans="1:21" ht="18.75" x14ac:dyDescent="0.25">
      <c r="A585" s="398"/>
      <c r="B585" s="399"/>
      <c r="C585" s="400"/>
      <c r="D585" s="401" t="s">
        <v>223</v>
      </c>
      <c r="E585" s="400"/>
      <c r="F585" s="399"/>
      <c r="G585" s="402"/>
      <c r="H585" s="403" t="s">
        <v>61</v>
      </c>
      <c r="I585" s="404">
        <f ca="1">IFERROR(__xludf.DUMMYFUNCTION("IMPORTRANGE(""https://docs.google.com/spreadsheets/d/12pGRKgvn2b31Uz_fjAl3XPzZUM_F2_O-zAHL2XHEPZg/edit?usp=sharing"",""รวมเหนือ!I587"")+IMPORTRANGE(""https://docs.google.com/spreadsheets/d/1c0UfJUA6nE6esVMy0kRcX_PENtt96DMxicQpqi3tips/edit?usp=sharing"","""&amp;"รวมตะวันออกเฉียงเหนือ!I587"")+IMPORTRANGE(""https://docs.google.com/spreadsheets/d/1iNWbYmj0agxPDl_yJgGu1eIremFPVMUuMWUKAjBzvrk/edit?usp=sharing"",""รวมกลาง!I587"")+IMPORTRANGE(""https://docs.google.com/spreadsheets/d/1uenpWDAH2bchvfvsSIjpd4bRU5D1faxJOaE3"&amp;"4GQM5-c/edit?usp=sharing"",""รวมใต้!I587"")"),153)</f>
        <v>153</v>
      </c>
      <c r="J585" s="404">
        <f ca="1">IFERROR(__xludf.DUMMYFUNCTION("IMPORTRANGE(""https://docs.google.com/spreadsheets/d/12pGRKgvn2b31Uz_fjAl3XPzZUM_F2_O-zAHL2XHEPZg/edit?usp=sharing"",""รวมเหนือ!J587"")+IMPORTRANGE(""https://docs.google.com/spreadsheets/d/1c0UfJUA6nE6esVMy0kRcX_PENtt96DMxicQpqi3tips/edit?usp=sharing"","""&amp;"รวมตะวันออกเฉียงเหนือ!J587"")+IMPORTRANGE(""https://docs.google.com/spreadsheets/d/1iNWbYmj0agxPDl_yJgGu1eIremFPVMUuMWUKAjBzvrk/edit?usp=sharing"",""รวมกลาง!J587"")+IMPORTRANGE(""https://docs.google.com/spreadsheets/d/1uenpWDAH2bchvfvsSIjpd4bRU5D1faxJOaE3"&amp;"4GQM5-c/edit?usp=sharing"",""รวมใต้!J587"")"),153)</f>
        <v>153</v>
      </c>
      <c r="K585" s="405">
        <f t="shared" ca="1" si="397"/>
        <v>100</v>
      </c>
      <c r="L585" s="406"/>
      <c r="M585" s="406"/>
      <c r="N585" s="406"/>
      <c r="O585" s="406"/>
      <c r="P585" s="406"/>
      <c r="Q585" s="406"/>
      <c r="R585" s="406"/>
      <c r="S585" s="406"/>
      <c r="T585" s="406"/>
      <c r="U585" s="406"/>
    </row>
    <row r="586" spans="1:21" ht="12.75" hidden="1" x14ac:dyDescent="0.2">
      <c r="A586" s="235"/>
      <c r="B586" s="236"/>
      <c r="C586" s="236"/>
      <c r="D586" s="238"/>
      <c r="E586" s="238"/>
      <c r="F586" s="238"/>
      <c r="G586" s="239"/>
      <c r="H586" s="328"/>
      <c r="I586" s="241"/>
      <c r="J586" s="241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</row>
    <row r="587" spans="1:21" ht="12.75" hidden="1" x14ac:dyDescent="0.2">
      <c r="A587" s="235"/>
      <c r="B587" s="236"/>
      <c r="C587" s="236"/>
      <c r="D587" s="238"/>
      <c r="E587" s="238"/>
      <c r="F587" s="238"/>
      <c r="G587" s="239"/>
      <c r="H587" s="328"/>
      <c r="I587" s="241"/>
      <c r="J587" s="241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</row>
    <row r="588" spans="1:21" ht="12.75" hidden="1" x14ac:dyDescent="0.2">
      <c r="A588" s="235"/>
      <c r="B588" s="236"/>
      <c r="C588" s="236"/>
      <c r="D588" s="238"/>
      <c r="E588" s="238"/>
      <c r="F588" s="238"/>
      <c r="G588" s="239"/>
      <c r="H588" s="328"/>
      <c r="I588" s="241"/>
      <c r="J588" s="241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</row>
    <row r="589" spans="1:21" ht="12.75" hidden="1" x14ac:dyDescent="0.2">
      <c r="A589" s="235"/>
      <c r="B589" s="236"/>
      <c r="C589" s="236"/>
      <c r="D589" s="238"/>
      <c r="E589" s="238"/>
      <c r="F589" s="238"/>
      <c r="G589" s="239"/>
      <c r="H589" s="328"/>
      <c r="I589" s="241"/>
      <c r="J589" s="241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</row>
    <row r="590" spans="1:21" ht="12.75" hidden="1" x14ac:dyDescent="0.2">
      <c r="A590" s="235"/>
      <c r="B590" s="236"/>
      <c r="C590" s="236"/>
      <c r="D590" s="238"/>
      <c r="E590" s="238"/>
      <c r="F590" s="238"/>
      <c r="G590" s="239"/>
      <c r="H590" s="328"/>
      <c r="I590" s="241"/>
      <c r="J590" s="241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</row>
    <row r="591" spans="1:21" ht="12.75" hidden="1" x14ac:dyDescent="0.2">
      <c r="A591" s="235"/>
      <c r="B591" s="236"/>
      <c r="C591" s="236"/>
      <c r="D591" s="238"/>
      <c r="E591" s="238"/>
      <c r="F591" s="238"/>
      <c r="G591" s="239"/>
      <c r="H591" s="328"/>
      <c r="I591" s="241"/>
      <c r="J591" s="241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</row>
    <row r="592" spans="1:21" ht="12.75" hidden="1" x14ac:dyDescent="0.2">
      <c r="A592" s="235"/>
      <c r="B592" s="236"/>
      <c r="C592" s="236"/>
      <c r="D592" s="238"/>
      <c r="E592" s="238"/>
      <c r="F592" s="238"/>
      <c r="G592" s="239"/>
      <c r="H592" s="328"/>
      <c r="I592" s="241"/>
      <c r="J592" s="241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</row>
    <row r="593" spans="1:21" ht="12.75" hidden="1" x14ac:dyDescent="0.2">
      <c r="A593" s="329"/>
      <c r="B593" s="330"/>
      <c r="C593" s="330"/>
      <c r="D593" s="384"/>
      <c r="E593" s="384"/>
      <c r="F593" s="384"/>
      <c r="G593" s="385"/>
      <c r="H593" s="331"/>
      <c r="I593" s="332"/>
      <c r="J593" s="332"/>
      <c r="K593" s="333"/>
      <c r="L593" s="333"/>
      <c r="M593" s="333"/>
      <c r="N593" s="333"/>
      <c r="O593" s="333"/>
      <c r="P593" s="333"/>
      <c r="Q593" s="333"/>
      <c r="R593" s="333"/>
      <c r="S593" s="333"/>
      <c r="T593" s="333"/>
      <c r="U593" s="333"/>
    </row>
    <row r="594" spans="1:21" ht="19.5" x14ac:dyDescent="0.3">
      <c r="A594" s="131" t="s">
        <v>224</v>
      </c>
      <c r="B594" s="132"/>
      <c r="C594" s="177"/>
      <c r="D594" s="132"/>
      <c r="E594" s="132"/>
      <c r="F594" s="132"/>
      <c r="G594" s="132"/>
      <c r="H594" s="133"/>
      <c r="I594" s="178"/>
      <c r="J594" s="178"/>
      <c r="K594" s="179"/>
      <c r="L594" s="136"/>
      <c r="M594" s="136"/>
      <c r="N594" s="136"/>
      <c r="O594" s="136"/>
      <c r="P594" s="136"/>
      <c r="Q594" s="136"/>
      <c r="R594" s="136"/>
      <c r="S594" s="136"/>
      <c r="T594" s="407"/>
      <c r="U594" s="407"/>
    </row>
    <row r="595" spans="1:21" ht="19.5" x14ac:dyDescent="0.3">
      <c r="A595" s="137"/>
      <c r="B595" s="138" t="s">
        <v>225</v>
      </c>
      <c r="C595" s="181"/>
      <c r="D595" s="139"/>
      <c r="E595" s="24"/>
      <c r="F595" s="24"/>
      <c r="G595" s="24"/>
      <c r="H595" s="408" t="s">
        <v>99</v>
      </c>
      <c r="I595" s="409">
        <f t="shared" ref="I595:J595" si="398">I607</f>
        <v>200000</v>
      </c>
      <c r="J595" s="410">
        <f t="shared" si="398"/>
        <v>200000</v>
      </c>
      <c r="K595" s="411">
        <f t="shared" ref="K595:K596" si="399">IF(I595&gt;0,J595*100/I595,0)</f>
        <v>100</v>
      </c>
      <c r="L595" s="30"/>
      <c r="M595" s="30"/>
      <c r="N595" s="30"/>
      <c r="O595" s="30"/>
      <c r="P595" s="30"/>
      <c r="Q595" s="30"/>
      <c r="R595" s="30"/>
      <c r="S595" s="30"/>
      <c r="T595" s="30"/>
      <c r="U595" s="30"/>
    </row>
    <row r="596" spans="1:21" ht="19.5" x14ac:dyDescent="0.3">
      <c r="A596" s="412"/>
      <c r="B596" s="413" t="s">
        <v>226</v>
      </c>
      <c r="C596" s="139"/>
      <c r="D596" s="24"/>
      <c r="E596" s="24"/>
      <c r="F596" s="24"/>
      <c r="G596" s="27"/>
      <c r="H596" s="182" t="s">
        <v>35</v>
      </c>
      <c r="I596" s="410">
        <f t="shared" ref="I596:J596" si="400">I608</f>
        <v>150</v>
      </c>
      <c r="J596" s="410">
        <f t="shared" si="400"/>
        <v>151</v>
      </c>
      <c r="K596" s="411">
        <f t="shared" si="399"/>
        <v>100.66666666666667</v>
      </c>
      <c r="L596" s="30"/>
      <c r="M596" s="30"/>
      <c r="N596" s="30"/>
      <c r="O596" s="30"/>
      <c r="P596" s="30"/>
      <c r="Q596" s="30"/>
      <c r="R596" s="30"/>
      <c r="S596" s="30"/>
      <c r="T596" s="30"/>
      <c r="U596" s="30"/>
    </row>
    <row r="597" spans="1:21" ht="19.5" x14ac:dyDescent="0.3">
      <c r="A597" s="142"/>
      <c r="B597" s="170"/>
      <c r="C597" s="143" t="s">
        <v>18</v>
      </c>
      <c r="D597" s="538" t="s">
        <v>19</v>
      </c>
      <c r="E597" s="535"/>
      <c r="F597" s="535"/>
      <c r="G597" s="536"/>
      <c r="H597" s="227" t="s">
        <v>14</v>
      </c>
      <c r="I597" s="40"/>
      <c r="J597" s="40"/>
      <c r="K597" s="41"/>
      <c r="L597" s="146">
        <f t="shared" ref="L597:N597" ca="1" si="401">L598+L599</f>
        <v>4609200</v>
      </c>
      <c r="M597" s="146">
        <f t="shared" ca="1" si="401"/>
        <v>4608700</v>
      </c>
      <c r="N597" s="146">
        <f t="shared" ca="1" si="401"/>
        <v>4592029.7200000007</v>
      </c>
      <c r="O597" s="146">
        <f t="shared" ref="O597:O605" ca="1" si="402">IF(L597&gt;0,N597*100/L597,0)</f>
        <v>99.627478087303672</v>
      </c>
      <c r="P597" s="146">
        <f t="shared" ref="P597:P605" ca="1" si="403">IF(M597&gt;0,N597*100/M597,0)</f>
        <v>99.638286718597442</v>
      </c>
      <c r="Q597" s="146">
        <f t="shared" ref="Q597:S597" ca="1" si="404">Q598+Q599</f>
        <v>229400</v>
      </c>
      <c r="R597" s="146">
        <f t="shared" ca="1" si="404"/>
        <v>229400</v>
      </c>
      <c r="S597" s="146">
        <f t="shared" ca="1" si="404"/>
        <v>228800</v>
      </c>
      <c r="T597" s="146">
        <f t="shared" ref="T597:T605" ca="1" si="405">IF(Q597&gt;0,S597*100/Q597,0)</f>
        <v>99.738448125544906</v>
      </c>
      <c r="U597" s="146">
        <f t="shared" ref="U597:U605" ca="1" si="406">IF(R597&gt;0,S597*100/R597,0)</f>
        <v>99.738448125544906</v>
      </c>
    </row>
    <row r="598" spans="1:21" ht="18.75" x14ac:dyDescent="0.25">
      <c r="A598" s="142"/>
      <c r="B598" s="170"/>
      <c r="C598" s="170"/>
      <c r="D598" s="159"/>
      <c r="E598" s="43" t="s">
        <v>165</v>
      </c>
      <c r="F598" s="36"/>
      <c r="G598" s="38"/>
      <c r="H598" s="148" t="s">
        <v>14</v>
      </c>
      <c r="I598" s="40"/>
      <c r="J598" s="40"/>
      <c r="K598" s="41"/>
      <c r="L598" s="42">
        <f t="shared" ref="L598:N598" ca="1" si="407">L601+L604</f>
        <v>3866990</v>
      </c>
      <c r="M598" s="42">
        <f t="shared" ca="1" si="407"/>
        <v>3916371</v>
      </c>
      <c r="N598" s="42">
        <f t="shared" ca="1" si="407"/>
        <v>3911057.72</v>
      </c>
      <c r="O598" s="42">
        <f t="shared" ca="1" si="402"/>
        <v>101.13958712073214</v>
      </c>
      <c r="P598" s="42">
        <f t="shared" ca="1" si="403"/>
        <v>99.864331545709021</v>
      </c>
      <c r="Q598" s="42">
        <f ca="1">IFERROR(__xludf.DUMMYFUNCTION("IMPORTRANGE(""https://docs.google.com/spreadsheets/d/1ItG2mGa2ceCfYo0BwxsXqNm01IGEUdYcSSLTEv9YCik/edit?usp=sharing"",""เบิกจ่ายกองทุน!AS11"")"),229400)</f>
        <v>229400</v>
      </c>
      <c r="R598" s="42">
        <f ca="1">IFERROR(__xludf.DUMMYFUNCTION("IMPORTRANGE(""https://docs.google.com/spreadsheets/d/1ItG2mGa2ceCfYo0BwxsXqNm01IGEUdYcSSLTEv9YCik/edit?usp=sharing"",""เบิกจ่ายกองทุน!AT11"")"),229400)</f>
        <v>229400</v>
      </c>
      <c r="S598" s="42">
        <f ca="1">IFERROR(__xludf.DUMMYFUNCTION("IMPORTRANGE(""https://docs.google.com/spreadsheets/d/1ItG2mGa2ceCfYo0BwxsXqNm01IGEUdYcSSLTEv9YCik/edit?usp=sharing"",""เบิกจ่ายกองทุน!AU11"")"),228800)</f>
        <v>228800</v>
      </c>
      <c r="T598" s="42">
        <f t="shared" ca="1" si="405"/>
        <v>99.738448125544906</v>
      </c>
      <c r="U598" s="42">
        <f t="shared" ca="1" si="406"/>
        <v>99.738448125544906</v>
      </c>
    </row>
    <row r="599" spans="1:21" ht="18.75" x14ac:dyDescent="0.25">
      <c r="A599" s="142"/>
      <c r="B599" s="170"/>
      <c r="C599" s="170"/>
      <c r="D599" s="159"/>
      <c r="E599" s="43" t="s">
        <v>166</v>
      </c>
      <c r="F599" s="36"/>
      <c r="G599" s="38"/>
      <c r="H599" s="148" t="s">
        <v>14</v>
      </c>
      <c r="I599" s="40"/>
      <c r="J599" s="40"/>
      <c r="K599" s="41"/>
      <c r="L599" s="42">
        <f t="shared" ref="L599:N599" ca="1" si="408">L602+L605</f>
        <v>742210</v>
      </c>
      <c r="M599" s="42">
        <f t="shared" ca="1" si="408"/>
        <v>692329</v>
      </c>
      <c r="N599" s="42">
        <f t="shared" ca="1" si="408"/>
        <v>680972</v>
      </c>
      <c r="O599" s="42">
        <f t="shared" ca="1" si="402"/>
        <v>91.749235391600763</v>
      </c>
      <c r="P599" s="42">
        <f t="shared" ca="1" si="403"/>
        <v>98.359594932467076</v>
      </c>
      <c r="Q599" s="42">
        <v>0</v>
      </c>
      <c r="R599" s="42">
        <v>0</v>
      </c>
      <c r="S599" s="42">
        <v>0</v>
      </c>
      <c r="T599" s="42">
        <f t="shared" si="405"/>
        <v>0</v>
      </c>
      <c r="U599" s="42">
        <f t="shared" si="406"/>
        <v>0</v>
      </c>
    </row>
    <row r="600" spans="1:21" ht="19.5" x14ac:dyDescent="0.3">
      <c r="A600" s="142"/>
      <c r="B600" s="170"/>
      <c r="C600" s="170"/>
      <c r="D600" s="144" t="s">
        <v>22</v>
      </c>
      <c r="E600" s="36"/>
      <c r="F600" s="36"/>
      <c r="G600" s="38"/>
      <c r="H600" s="227" t="s">
        <v>14</v>
      </c>
      <c r="I600" s="149"/>
      <c r="J600" s="149"/>
      <c r="K600" s="150"/>
      <c r="L600" s="42">
        <f t="shared" ref="L600:N600" ca="1" si="409">L601+L602</f>
        <v>4363100</v>
      </c>
      <c r="M600" s="42">
        <f t="shared" ca="1" si="409"/>
        <v>4363100</v>
      </c>
      <c r="N600" s="42">
        <f t="shared" ca="1" si="409"/>
        <v>4346429.7200000007</v>
      </c>
      <c r="O600" s="42">
        <f t="shared" ca="1" si="402"/>
        <v>99.617925786711297</v>
      </c>
      <c r="P600" s="42">
        <f t="shared" ca="1" si="403"/>
        <v>99.617925786711297</v>
      </c>
      <c r="Q600" s="42">
        <f t="shared" ref="Q600:S600" ca="1" si="410">Q601+Q602</f>
        <v>0</v>
      </c>
      <c r="R600" s="42">
        <f t="shared" ca="1" si="410"/>
        <v>0</v>
      </c>
      <c r="S600" s="42">
        <f t="shared" ca="1" si="410"/>
        <v>0</v>
      </c>
      <c r="T600" s="42">
        <f t="shared" ca="1" si="405"/>
        <v>0</v>
      </c>
      <c r="U600" s="42">
        <f t="shared" ca="1" si="406"/>
        <v>0</v>
      </c>
    </row>
    <row r="601" spans="1:21" ht="18.75" x14ac:dyDescent="0.25">
      <c r="A601" s="142"/>
      <c r="B601" s="170"/>
      <c r="C601" s="170"/>
      <c r="D601" s="159"/>
      <c r="E601" s="43" t="s">
        <v>165</v>
      </c>
      <c r="F601" s="36"/>
      <c r="G601" s="38"/>
      <c r="H601" s="148" t="s">
        <v>14</v>
      </c>
      <c r="I601" s="40"/>
      <c r="J601" s="40"/>
      <c r="K601" s="41"/>
      <c r="L601" s="42">
        <f ca="1">IFERROR(__xludf.DUMMYFUNCTION("IMPORTRANGE(""https://docs.google.com/spreadsheets/d/1-uDff_7J0KD5mKrp0Vvzr7lt3OU09vwQwhkpOPPYv2Y/edit?usp=sharing"",""งบพรบ!HK9"")"),3620890)</f>
        <v>3620890</v>
      </c>
      <c r="M601" s="42">
        <f ca="1">IFERROR(__xludf.DUMMYFUNCTION("IMPORTRANGE(""https://docs.google.com/spreadsheets/d/1-uDff_7J0KD5mKrp0Vvzr7lt3OU09vwQwhkpOPPYv2Y/edit?usp=sharing"",""งบพรบ!HP9"")"),3670771)</f>
        <v>3670771</v>
      </c>
      <c r="N601" s="42">
        <f ca="1">IFERROR(__xludf.DUMMYFUNCTION("IMPORTRANGE(""https://docs.google.com/spreadsheets/d/1-uDff_7J0KD5mKrp0Vvzr7lt3OU09vwQwhkpOPPYv2Y/edit?usp=sharing"",""งบพรบ!HR9"")"),3665457.72)</f>
        <v>3665457.72</v>
      </c>
      <c r="O601" s="42">
        <f t="shared" ca="1" si="402"/>
        <v>101.23084987392602</v>
      </c>
      <c r="P601" s="42">
        <f t="shared" ca="1" si="403"/>
        <v>99.855254386612515</v>
      </c>
      <c r="Q601" s="42">
        <v>0</v>
      </c>
      <c r="R601" s="42">
        <v>0</v>
      </c>
      <c r="S601" s="42">
        <v>0</v>
      </c>
      <c r="T601" s="42">
        <f t="shared" si="405"/>
        <v>0</v>
      </c>
      <c r="U601" s="42">
        <f t="shared" si="406"/>
        <v>0</v>
      </c>
    </row>
    <row r="602" spans="1:21" ht="18.75" x14ac:dyDescent="0.25">
      <c r="A602" s="142"/>
      <c r="B602" s="170"/>
      <c r="C602" s="170"/>
      <c r="D602" s="159"/>
      <c r="E602" s="43" t="s">
        <v>166</v>
      </c>
      <c r="F602" s="36"/>
      <c r="G602" s="38"/>
      <c r="H602" s="148" t="s">
        <v>14</v>
      </c>
      <c r="I602" s="40"/>
      <c r="J602" s="40"/>
      <c r="K602" s="41"/>
      <c r="L602" s="42">
        <f ca="1">IFERROR(__xludf.DUMMYFUNCTION("IMPORTRANGE(""https://docs.google.com/spreadsheets/d/12pGRKgvn2b31Uz_fjAl3XPzZUM_F2_O-zAHL2XHEPZg/edit?usp=sharing"",""รวมเหนือ!L604"")+IMPORTRANGE(""https://docs.google.com/spreadsheets/d/1c0UfJUA6nE6esVMy0kRcX_PENtt96DMxicQpqi3tips/edit?usp=sharing"","""&amp;"รวมตะวันออกเฉียงเหนือ!L604"")+IMPORTRANGE(""https://docs.google.com/spreadsheets/d/1iNWbYmj0agxPDl_yJgGu1eIremFPVMUuMWUKAjBzvrk/edit?usp=sharing"",""รวมกลาง!L604"")+IMPORTRANGE(""https://docs.google.com/spreadsheets/d/1uenpWDAH2bchvfvsSIjpd4bRU5D1faxJOaE3"&amp;"4GQM5-c/edit?usp=sharing"",""รวมใต้!L604"")"),742210)</f>
        <v>742210</v>
      </c>
      <c r="M602" s="42">
        <f ca="1">IFERROR(__xludf.DUMMYFUNCTION("IMPORTRANGE(""https://docs.google.com/spreadsheets/d/12pGRKgvn2b31Uz_fjAl3XPzZUM_F2_O-zAHL2XHEPZg/edit?usp=sharing"",""รวมเหนือ!M604"")+IMPORTRANGE(""https://docs.google.com/spreadsheets/d/1c0UfJUA6nE6esVMy0kRcX_PENtt96DMxicQpqi3tips/edit?usp=sharing"","""&amp;"รวมตะวันออกเฉียงเหนือ!M604"")+IMPORTRANGE(""https://docs.google.com/spreadsheets/d/1iNWbYmj0agxPDl_yJgGu1eIremFPVMUuMWUKAjBzvrk/edit?usp=sharing"",""รวมกลาง!M604"")+IMPORTRANGE(""https://docs.google.com/spreadsheets/d/1uenpWDAH2bchvfvsSIjpd4bRU5D1faxJOaE3"&amp;"4GQM5-c/edit?usp=sharing"",""รวมใต้!M604"")"),692329)</f>
        <v>692329</v>
      </c>
      <c r="N602" s="42">
        <f ca="1">IFERROR(__xludf.DUMMYFUNCTION("IMPORTRANGE(""https://docs.google.com/spreadsheets/d/12pGRKgvn2b31Uz_fjAl3XPzZUM_F2_O-zAHL2XHEPZg/edit?usp=sharing"",""รวมเหนือ!N604"")+IMPORTRANGE(""https://docs.google.com/spreadsheets/d/1c0UfJUA6nE6esVMy0kRcX_PENtt96DMxicQpqi3tips/edit?usp=sharing"","""&amp;"รวมตะวันออกเฉียงเหนือ!N604"")+IMPORTRANGE(""https://docs.google.com/spreadsheets/d/1iNWbYmj0agxPDl_yJgGu1eIremFPVMUuMWUKAjBzvrk/edit?usp=sharing"",""รวมกลาง!N604"")+IMPORTRANGE(""https://docs.google.com/spreadsheets/d/1uenpWDAH2bchvfvsSIjpd4bRU5D1faxJOaE3"&amp;"4GQM5-c/edit?usp=sharing"",""รวมใต้!N604"")"),680972)</f>
        <v>680972</v>
      </c>
      <c r="O602" s="42">
        <f t="shared" ca="1" si="402"/>
        <v>91.749235391600763</v>
      </c>
      <c r="P602" s="42">
        <f t="shared" ca="1" si="403"/>
        <v>98.359594932467076</v>
      </c>
      <c r="Q602" s="42">
        <f ca="1">IFERROR(__xludf.DUMMYFUNCTION("IMPORTRANGE(""https://docs.google.com/spreadsheets/d/12pGRKgvn2b31Uz_fjAl3XPzZUM_F2_O-zAHL2XHEPZg/edit?usp=sharing"",""รวมเหนือ!Q604"")+IMPORTRANGE(""https://docs.google.com/spreadsheets/d/1c0UfJUA6nE6esVMy0kRcX_PENtt96DMxicQpqi3tips/edit?usp=sharing"","""&amp;"รวมตะวันออกเฉียงเหนือ!Q604"")+IMPORTRANGE(""https://docs.google.com/spreadsheets/d/1iNWbYmj0agxPDl_yJgGu1eIremFPVMUuMWUKAjBzvrk/edit?usp=sharing"",""รวมกลาง!Q604"")+IMPORTRANGE(""https://docs.google.com/spreadsheets/d/1uenpWDAH2bchvfvsSIjpd4bRU5D1faxJOaE3"&amp;"4GQM5-c/edit?usp=sharing"",""รวมใต้!Q604"")"),0)</f>
        <v>0</v>
      </c>
      <c r="R602" s="42">
        <f ca="1">IFERROR(__xludf.DUMMYFUNCTION("IMPORTRANGE(""https://docs.google.com/spreadsheets/d/12pGRKgvn2b31Uz_fjAl3XPzZUM_F2_O-zAHL2XHEPZg/edit?usp=sharing"",""รวมเหนือ!R604"")+IMPORTRANGE(""https://docs.google.com/spreadsheets/d/1c0UfJUA6nE6esVMy0kRcX_PENtt96DMxicQpqi3tips/edit?usp=sharing"","""&amp;"รวมตะวันออกเฉียงเหนือ!R604"")+IMPORTRANGE(""https://docs.google.com/spreadsheets/d/1iNWbYmj0agxPDl_yJgGu1eIremFPVMUuMWUKAjBzvrk/edit?usp=sharing"",""รวมกลาง!R604"")+IMPORTRANGE(""https://docs.google.com/spreadsheets/d/1uenpWDAH2bchvfvsSIjpd4bRU5D1faxJOaE3"&amp;"4GQM5-c/edit?usp=sharing"",""รวมใต้!R604"")"),0)</f>
        <v>0</v>
      </c>
      <c r="S602" s="42">
        <f ca="1">IFERROR(__xludf.DUMMYFUNCTION("IMPORTRANGE(""https://docs.google.com/spreadsheets/d/12pGRKgvn2b31Uz_fjAl3XPzZUM_F2_O-zAHL2XHEPZg/edit?usp=sharing"",""รวมเหนือ!S604"")+IMPORTRANGE(""https://docs.google.com/spreadsheets/d/1c0UfJUA6nE6esVMy0kRcX_PENtt96DMxicQpqi3tips/edit?usp=sharing"","""&amp;"รวมตะวันออกเฉียงเหนือ!S604"")+IMPORTRANGE(""https://docs.google.com/spreadsheets/d/1iNWbYmj0agxPDl_yJgGu1eIremFPVMUuMWUKAjBzvrk/edit?usp=sharing"",""รวมกลาง!S604"")+IMPORTRANGE(""https://docs.google.com/spreadsheets/d/1uenpWDAH2bchvfvsSIjpd4bRU5D1faxJOaE3"&amp;"4GQM5-c/edit?usp=sharing"",""รวมใต้!S604"")"),0)</f>
        <v>0</v>
      </c>
      <c r="T602" s="42">
        <f t="shared" ca="1" si="405"/>
        <v>0</v>
      </c>
      <c r="U602" s="42">
        <f t="shared" ca="1" si="406"/>
        <v>0</v>
      </c>
    </row>
    <row r="603" spans="1:21" ht="19.5" x14ac:dyDescent="0.3">
      <c r="A603" s="142"/>
      <c r="B603" s="170"/>
      <c r="C603" s="170"/>
      <c r="D603" s="144" t="s">
        <v>23</v>
      </c>
      <c r="E603" s="170"/>
      <c r="F603" s="36"/>
      <c r="G603" s="38"/>
      <c r="H603" s="414" t="s">
        <v>14</v>
      </c>
      <c r="I603" s="149"/>
      <c r="J603" s="149"/>
      <c r="K603" s="150"/>
      <c r="L603" s="42">
        <f t="shared" ref="L603:N603" ca="1" si="411">L604+L605</f>
        <v>246100</v>
      </c>
      <c r="M603" s="42">
        <f t="shared" ca="1" si="411"/>
        <v>245600</v>
      </c>
      <c r="N603" s="42">
        <f t="shared" ca="1" si="411"/>
        <v>245600</v>
      </c>
      <c r="O603" s="42">
        <f t="shared" ca="1" si="402"/>
        <v>99.79683055668427</v>
      </c>
      <c r="P603" s="42">
        <f t="shared" ca="1" si="403"/>
        <v>100</v>
      </c>
      <c r="Q603" s="42">
        <f t="shared" ref="Q603:S603" ca="1" si="412">Q604+Q605</f>
        <v>0</v>
      </c>
      <c r="R603" s="42">
        <f t="shared" ca="1" si="412"/>
        <v>0</v>
      </c>
      <c r="S603" s="42">
        <f t="shared" ca="1" si="412"/>
        <v>0</v>
      </c>
      <c r="T603" s="42">
        <f t="shared" ca="1" si="405"/>
        <v>0</v>
      </c>
      <c r="U603" s="42">
        <f t="shared" ca="1" si="406"/>
        <v>0</v>
      </c>
    </row>
    <row r="604" spans="1:21" ht="18.75" x14ac:dyDescent="0.25">
      <c r="A604" s="142"/>
      <c r="B604" s="170"/>
      <c r="C604" s="170"/>
      <c r="D604" s="170"/>
      <c r="E604" s="214" t="s">
        <v>20</v>
      </c>
      <c r="F604" s="36"/>
      <c r="G604" s="38"/>
      <c r="H604" s="148" t="s">
        <v>14</v>
      </c>
      <c r="I604" s="149"/>
      <c r="J604" s="149"/>
      <c r="K604" s="150"/>
      <c r="L604" s="42">
        <f ca="1">IFERROR(__xludf.DUMMYFUNCTION("IMPORTRANGE(""https://docs.google.com/spreadsheets/d/1-uDff_7J0KD5mKrp0Vvzr7lt3OU09vwQwhkpOPPYv2Y/edit?usp=sharing"",""งบพรบ!HN9"")"),246100)</f>
        <v>246100</v>
      </c>
      <c r="M604" s="42">
        <f ca="1">IFERROR(__xludf.DUMMYFUNCTION("IMPORTRANGE(""https://docs.google.com/spreadsheets/d/1-uDff_7J0KD5mKrp0Vvzr7lt3OU09vwQwhkpOPPYv2Y/edit?usp=sharing"",""งบพรบ!HQ9"")"),245600)</f>
        <v>245600</v>
      </c>
      <c r="N604" s="42">
        <f ca="1">IFERROR(__xludf.DUMMYFUNCTION("IMPORTRANGE(""https://docs.google.com/spreadsheets/d/1-uDff_7J0KD5mKrp0Vvzr7lt3OU09vwQwhkpOPPYv2Y/edit?usp=sharing"",""งบพรบ!HS9"")"),245600)</f>
        <v>245600</v>
      </c>
      <c r="O604" s="42">
        <f t="shared" ca="1" si="402"/>
        <v>99.79683055668427</v>
      </c>
      <c r="P604" s="42">
        <f t="shared" ca="1" si="403"/>
        <v>100</v>
      </c>
      <c r="Q604" s="42">
        <v>0</v>
      </c>
      <c r="R604" s="42">
        <v>0</v>
      </c>
      <c r="S604" s="42">
        <v>0</v>
      </c>
      <c r="T604" s="42">
        <f t="shared" si="405"/>
        <v>0</v>
      </c>
      <c r="U604" s="42">
        <f t="shared" si="406"/>
        <v>0</v>
      </c>
    </row>
    <row r="605" spans="1:21" ht="18.75" x14ac:dyDescent="0.25">
      <c r="A605" s="142"/>
      <c r="B605" s="170"/>
      <c r="C605" s="170"/>
      <c r="D605" s="36"/>
      <c r="E605" s="214" t="s">
        <v>21</v>
      </c>
      <c r="F605" s="36"/>
      <c r="G605" s="38"/>
      <c r="H605" s="151" t="s">
        <v>14</v>
      </c>
      <c r="I605" s="149"/>
      <c r="J605" s="149"/>
      <c r="K605" s="150"/>
      <c r="L605" s="42">
        <f ca="1">IFERROR(__xludf.DUMMYFUNCTION("IMPORTRANGE(""https://docs.google.com/spreadsheets/d/12pGRKgvn2b31Uz_fjAl3XPzZUM_F2_O-zAHL2XHEPZg/edit?usp=sharing"",""รวมเหนือ!L607"")+IMPORTRANGE(""https://docs.google.com/spreadsheets/d/1c0UfJUA6nE6esVMy0kRcX_PENtt96DMxicQpqi3tips/edit?usp=sharing"","""&amp;"รวมตะวันออกเฉียงเหนือ!L607"")+IMPORTRANGE(""https://docs.google.com/spreadsheets/d/1iNWbYmj0agxPDl_yJgGu1eIremFPVMUuMWUKAjBzvrk/edit?usp=sharing"",""รวมกลาง!L607"")+IMPORTRANGE(""https://docs.google.com/spreadsheets/d/1uenpWDAH2bchvfvsSIjpd4bRU5D1faxJOaE3"&amp;"4GQM5-c/edit?usp=sharing"",""รวมใต้!L607"")"),0)</f>
        <v>0</v>
      </c>
      <c r="M605" s="42">
        <f ca="1">IFERROR(__xludf.DUMMYFUNCTION("IMPORTRANGE(""https://docs.google.com/spreadsheets/d/12pGRKgvn2b31Uz_fjAl3XPzZUM_F2_O-zAHL2XHEPZg/edit?usp=sharing"",""รวมเหนือ!M607"")+IMPORTRANGE(""https://docs.google.com/spreadsheets/d/1c0UfJUA6nE6esVMy0kRcX_PENtt96DMxicQpqi3tips/edit?usp=sharing"","""&amp;"รวมตะวันออกเฉียงเหนือ!M607"")+IMPORTRANGE(""https://docs.google.com/spreadsheets/d/1iNWbYmj0agxPDl_yJgGu1eIremFPVMUuMWUKAjBzvrk/edit?usp=sharing"",""รวมกลาง!M607"")+IMPORTRANGE(""https://docs.google.com/spreadsheets/d/1uenpWDAH2bchvfvsSIjpd4bRU5D1faxJOaE3"&amp;"4GQM5-c/edit?usp=sharing"",""รวมใต้!M607"")"),0)</f>
        <v>0</v>
      </c>
      <c r="N605" s="42">
        <f ca="1">IFERROR(__xludf.DUMMYFUNCTION("IMPORTRANGE(""https://docs.google.com/spreadsheets/d/12pGRKgvn2b31Uz_fjAl3XPzZUM_F2_O-zAHL2XHEPZg/edit?usp=sharing"",""รวมเหนือ!N607"")+IMPORTRANGE(""https://docs.google.com/spreadsheets/d/1c0UfJUA6nE6esVMy0kRcX_PENtt96DMxicQpqi3tips/edit?usp=sharing"","""&amp;"รวมตะวันออกเฉียงเหนือ!N607"")+IMPORTRANGE(""https://docs.google.com/spreadsheets/d/1iNWbYmj0agxPDl_yJgGu1eIremFPVMUuMWUKAjBzvrk/edit?usp=sharing"",""รวมกลาง!N607"")+IMPORTRANGE(""https://docs.google.com/spreadsheets/d/1uenpWDAH2bchvfvsSIjpd4bRU5D1faxJOaE3"&amp;"4GQM5-c/edit?usp=sharing"",""รวมใต้!N607"")"),0)</f>
        <v>0</v>
      </c>
      <c r="O605" s="42">
        <f t="shared" ca="1" si="402"/>
        <v>0</v>
      </c>
      <c r="P605" s="42">
        <f t="shared" ca="1" si="403"/>
        <v>0</v>
      </c>
      <c r="Q605" s="42">
        <f ca="1">IFERROR(__xludf.DUMMYFUNCTION("IMPORTRANGE(""https://docs.google.com/spreadsheets/d/12pGRKgvn2b31Uz_fjAl3XPzZUM_F2_O-zAHL2XHEPZg/edit?usp=sharing"",""รวมเหนือ!Q607"")+IMPORTRANGE(""https://docs.google.com/spreadsheets/d/1c0UfJUA6nE6esVMy0kRcX_PENtt96DMxicQpqi3tips/edit?usp=sharing"","""&amp;"รวมตะวันออกเฉียงเหนือ!Q607"")+IMPORTRANGE(""https://docs.google.com/spreadsheets/d/1iNWbYmj0agxPDl_yJgGu1eIremFPVMUuMWUKAjBzvrk/edit?usp=sharing"",""รวมกลาง!Q607"")+IMPORTRANGE(""https://docs.google.com/spreadsheets/d/1uenpWDAH2bchvfvsSIjpd4bRU5D1faxJOaE3"&amp;"4GQM5-c/edit?usp=sharing"",""รวมใต้!Q607"")"),0)</f>
        <v>0</v>
      </c>
      <c r="R605" s="42">
        <f ca="1">IFERROR(__xludf.DUMMYFUNCTION("IMPORTRANGE(""https://docs.google.com/spreadsheets/d/12pGRKgvn2b31Uz_fjAl3XPzZUM_F2_O-zAHL2XHEPZg/edit?usp=sharing"",""รวมเหนือ!R607"")+IMPORTRANGE(""https://docs.google.com/spreadsheets/d/1c0UfJUA6nE6esVMy0kRcX_PENtt96DMxicQpqi3tips/edit?usp=sharing"","""&amp;"รวมตะวันออกเฉียงเหนือ!R607"")+IMPORTRANGE(""https://docs.google.com/spreadsheets/d/1iNWbYmj0agxPDl_yJgGu1eIremFPVMUuMWUKAjBzvrk/edit?usp=sharing"",""รวมกลาง!R607"")+IMPORTRANGE(""https://docs.google.com/spreadsheets/d/1uenpWDAH2bchvfvsSIjpd4bRU5D1faxJOaE3"&amp;"4GQM5-c/edit?usp=sharing"",""รวมใต้!R607"")"),0)</f>
        <v>0</v>
      </c>
      <c r="S605" s="42">
        <f ca="1">IFERROR(__xludf.DUMMYFUNCTION("IMPORTRANGE(""https://docs.google.com/spreadsheets/d/12pGRKgvn2b31Uz_fjAl3XPzZUM_F2_O-zAHL2XHEPZg/edit?usp=sharing"",""รวมเหนือ!S607"")+IMPORTRANGE(""https://docs.google.com/spreadsheets/d/1c0UfJUA6nE6esVMy0kRcX_PENtt96DMxicQpqi3tips/edit?usp=sharing"","""&amp;"รวมตะวันออกเฉียงเหนือ!S607"")+IMPORTRANGE(""https://docs.google.com/spreadsheets/d/1iNWbYmj0agxPDl_yJgGu1eIremFPVMUuMWUKAjBzvrk/edit?usp=sharing"",""รวมกลาง!S607"")+IMPORTRANGE(""https://docs.google.com/spreadsheets/d/1uenpWDAH2bchvfvsSIjpd4bRU5D1faxJOaE3"&amp;"4GQM5-c/edit?usp=sharing"",""รวมใต้!S607"")"),0)</f>
        <v>0</v>
      </c>
      <c r="T605" s="42">
        <f t="shared" ca="1" si="405"/>
        <v>0</v>
      </c>
      <c r="U605" s="42">
        <f t="shared" ca="1" si="406"/>
        <v>0</v>
      </c>
    </row>
    <row r="606" spans="1:21" ht="19.5" x14ac:dyDescent="0.3">
      <c r="A606" s="152"/>
      <c r="B606" s="153"/>
      <c r="C606" s="143" t="s">
        <v>18</v>
      </c>
      <c r="D606" s="154" t="s">
        <v>38</v>
      </c>
      <c r="E606" s="155"/>
      <c r="F606" s="155"/>
      <c r="G606" s="156"/>
      <c r="H606" s="185"/>
      <c r="I606" s="149"/>
      <c r="J606" s="149"/>
      <c r="K606" s="150"/>
      <c r="L606" s="41"/>
      <c r="M606" s="41"/>
      <c r="N606" s="41"/>
      <c r="O606" s="41"/>
      <c r="P606" s="41"/>
      <c r="Q606" s="41"/>
      <c r="R606" s="41"/>
      <c r="S606" s="41"/>
      <c r="T606" s="41"/>
      <c r="U606" s="41"/>
    </row>
    <row r="607" spans="1:21" ht="18.75" x14ac:dyDescent="0.25">
      <c r="A607" s="152"/>
      <c r="B607" s="153"/>
      <c r="C607" s="153"/>
      <c r="D607" s="415" t="s">
        <v>227</v>
      </c>
      <c r="E607" s="159"/>
      <c r="F607" s="159"/>
      <c r="G607" s="157"/>
      <c r="H607" s="148" t="s">
        <v>99</v>
      </c>
      <c r="I607" s="94">
        <v>200000</v>
      </c>
      <c r="J607" s="94">
        <v>200000</v>
      </c>
      <c r="K607" s="232">
        <f t="shared" ref="K607:K608" si="413">IF(I607&gt;0,J607*100/I607,0)</f>
        <v>100</v>
      </c>
      <c r="L607" s="41"/>
      <c r="M607" s="41"/>
      <c r="N607" s="41"/>
      <c r="O607" s="41"/>
      <c r="P607" s="41"/>
      <c r="Q607" s="41"/>
      <c r="R607" s="41"/>
      <c r="S607" s="41"/>
      <c r="T607" s="41"/>
      <c r="U607" s="41"/>
    </row>
    <row r="608" spans="1:21" ht="19.5" x14ac:dyDescent="0.3">
      <c r="A608" s="152"/>
      <c r="B608" s="153"/>
      <c r="C608" s="153"/>
      <c r="D608" s="415" t="s">
        <v>228</v>
      </c>
      <c r="E608" s="159"/>
      <c r="F608" s="159"/>
      <c r="G608" s="157"/>
      <c r="H608" s="227" t="s">
        <v>35</v>
      </c>
      <c r="I608" s="416">
        <v>150</v>
      </c>
      <c r="J608" s="416">
        <f>J609+J610</f>
        <v>151</v>
      </c>
      <c r="K608" s="417">
        <f t="shared" si="413"/>
        <v>100.66666666666667</v>
      </c>
      <c r="L608" s="41"/>
      <c r="M608" s="41"/>
      <c r="N608" s="41"/>
      <c r="O608" s="41"/>
      <c r="P608" s="41"/>
      <c r="Q608" s="41"/>
      <c r="R608" s="41"/>
      <c r="S608" s="41"/>
      <c r="T608" s="41"/>
      <c r="U608" s="41"/>
    </row>
    <row r="609" spans="1:21" ht="18.75" x14ac:dyDescent="0.25">
      <c r="A609" s="152"/>
      <c r="B609" s="153"/>
      <c r="C609" s="153"/>
      <c r="D609" s="153"/>
      <c r="E609" s="415" t="s">
        <v>229</v>
      </c>
      <c r="F609" s="159"/>
      <c r="G609" s="157"/>
      <c r="H609" s="151" t="s">
        <v>35</v>
      </c>
      <c r="I609" s="40"/>
      <c r="J609" s="94">
        <v>86</v>
      </c>
      <c r="K609" s="232"/>
      <c r="L609" s="41"/>
      <c r="M609" s="41"/>
      <c r="N609" s="41"/>
      <c r="O609" s="41"/>
      <c r="P609" s="41"/>
      <c r="Q609" s="41"/>
      <c r="R609" s="41"/>
      <c r="S609" s="41"/>
      <c r="T609" s="41"/>
      <c r="U609" s="41"/>
    </row>
    <row r="610" spans="1:21" ht="18.75" x14ac:dyDescent="0.25">
      <c r="A610" s="418"/>
      <c r="B610" s="419"/>
      <c r="C610" s="419"/>
      <c r="D610" s="419"/>
      <c r="E610" s="420" t="s">
        <v>230</v>
      </c>
      <c r="F610" s="421"/>
      <c r="G610" s="422"/>
      <c r="H610" s="423" t="s">
        <v>35</v>
      </c>
      <c r="I610" s="424"/>
      <c r="J610" s="425">
        <v>65</v>
      </c>
      <c r="K610" s="426"/>
      <c r="L610" s="427"/>
      <c r="M610" s="427"/>
      <c r="N610" s="427"/>
      <c r="O610" s="427"/>
      <c r="P610" s="427"/>
      <c r="Q610" s="427"/>
      <c r="R610" s="427"/>
      <c r="S610" s="427"/>
      <c r="T610" s="427"/>
      <c r="U610" s="427"/>
    </row>
    <row r="611" spans="1:21" ht="19.5" hidden="1" x14ac:dyDescent="0.3">
      <c r="A611" s="428"/>
      <c r="B611" s="429"/>
      <c r="C611" s="429"/>
      <c r="D611" s="63"/>
      <c r="E611" s="63"/>
      <c r="F611" s="63"/>
      <c r="G611" s="55"/>
      <c r="H611" s="430"/>
      <c r="I611" s="56"/>
      <c r="J611" s="56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1:21" ht="19.5" x14ac:dyDescent="0.3">
      <c r="A612" s="431"/>
      <c r="B612" s="432" t="s">
        <v>231</v>
      </c>
      <c r="C612" s="433"/>
      <c r="D612" s="434"/>
      <c r="E612" s="434"/>
      <c r="F612" s="434"/>
      <c r="G612" s="435"/>
      <c r="H612" s="436"/>
      <c r="I612" s="437"/>
      <c r="J612" s="437"/>
      <c r="K612" s="438"/>
      <c r="L612" s="438"/>
      <c r="M612" s="438"/>
      <c r="N612" s="438"/>
      <c r="O612" s="438"/>
      <c r="P612" s="438"/>
      <c r="Q612" s="438"/>
      <c r="R612" s="438"/>
      <c r="S612" s="438"/>
      <c r="T612" s="438"/>
      <c r="U612" s="438"/>
    </row>
    <row r="613" spans="1:21" ht="19.5" x14ac:dyDescent="0.3">
      <c r="A613" s="439"/>
      <c r="B613" s="440" t="s">
        <v>232</v>
      </c>
      <c r="C613" s="441"/>
      <c r="D613" s="442"/>
      <c r="E613" s="442"/>
      <c r="F613" s="442"/>
      <c r="G613" s="443"/>
      <c r="H613" s="444" t="s">
        <v>46</v>
      </c>
      <c r="I613" s="445">
        <f t="shared" ref="I613" ca="1" si="414">I624</f>
        <v>3610</v>
      </c>
      <c r="J613" s="445">
        <f ca="1">J628</f>
        <v>2365.63</v>
      </c>
      <c r="K613" s="446">
        <f ca="1">IF(I613&gt;0,J613*100/I613,0)</f>
        <v>65.529916897506922</v>
      </c>
      <c r="L613" s="447"/>
      <c r="M613" s="447"/>
      <c r="N613" s="447"/>
      <c r="O613" s="447"/>
      <c r="P613" s="447"/>
      <c r="Q613" s="447"/>
      <c r="R613" s="447"/>
      <c r="S613" s="447"/>
      <c r="T613" s="447"/>
      <c r="U613" s="447"/>
    </row>
    <row r="614" spans="1:21" ht="19.5" x14ac:dyDescent="0.3">
      <c r="A614" s="142"/>
      <c r="B614" s="170"/>
      <c r="C614" s="143" t="s">
        <v>18</v>
      </c>
      <c r="D614" s="538" t="s">
        <v>19</v>
      </c>
      <c r="E614" s="535"/>
      <c r="F614" s="535"/>
      <c r="G614" s="536"/>
      <c r="H614" s="227" t="s">
        <v>14</v>
      </c>
      <c r="I614" s="40"/>
      <c r="J614" s="40"/>
      <c r="K614" s="41"/>
      <c r="L614" s="146">
        <f t="shared" ref="L614:N614" ca="1" si="415">L615+L616</f>
        <v>0</v>
      </c>
      <c r="M614" s="146">
        <f t="shared" ca="1" si="415"/>
        <v>0</v>
      </c>
      <c r="N614" s="146">
        <f t="shared" ca="1" si="415"/>
        <v>0</v>
      </c>
      <c r="O614" s="146">
        <f t="shared" ref="O614:O622" ca="1" si="416">IF(L614&gt;0,N614*100/L614,0)</f>
        <v>0</v>
      </c>
      <c r="P614" s="146">
        <f t="shared" ref="P614:P622" ca="1" si="417">IF(M614&gt;0,N614*100/M614,0)</f>
        <v>0</v>
      </c>
      <c r="Q614" s="146">
        <f t="shared" ref="Q614:S614" ca="1" si="418">Q615+Q616</f>
        <v>914370</v>
      </c>
      <c r="R614" s="146">
        <f t="shared" ca="1" si="418"/>
        <v>914370</v>
      </c>
      <c r="S614" s="146">
        <f t="shared" ca="1" si="418"/>
        <v>255823</v>
      </c>
      <c r="T614" s="146">
        <f t="shared" ref="T614:T622" ca="1" si="419">IF(Q614&gt;0,S614*100/Q614,0)</f>
        <v>27.97806139746492</v>
      </c>
      <c r="U614" s="146">
        <f t="shared" ref="U614:U622" ca="1" si="420">IF(R614&gt;0,S614*100/R614,0)</f>
        <v>27.97806139746492</v>
      </c>
    </row>
    <row r="615" spans="1:21" ht="18.75" x14ac:dyDescent="0.25">
      <c r="A615" s="142"/>
      <c r="B615" s="170"/>
      <c r="C615" s="170"/>
      <c r="D615" s="159"/>
      <c r="E615" s="43" t="s">
        <v>165</v>
      </c>
      <c r="F615" s="36"/>
      <c r="G615" s="38"/>
      <c r="H615" s="148" t="s">
        <v>14</v>
      </c>
      <c r="I615" s="40"/>
      <c r="J615" s="40"/>
      <c r="K615" s="41"/>
      <c r="L615" s="42">
        <f t="shared" ref="L615:N615" ca="1" si="421">L618+L621</f>
        <v>0</v>
      </c>
      <c r="M615" s="42">
        <f t="shared" ca="1" si="421"/>
        <v>0</v>
      </c>
      <c r="N615" s="42">
        <f t="shared" ca="1" si="421"/>
        <v>0</v>
      </c>
      <c r="O615" s="42">
        <f t="shared" ca="1" si="416"/>
        <v>0</v>
      </c>
      <c r="P615" s="42">
        <f t="shared" ca="1" si="417"/>
        <v>0</v>
      </c>
      <c r="Q615" s="42">
        <f ca="1">IFERROR(__xludf.DUMMYFUNCTION("IMPORTRANGE(""https://docs.google.com/spreadsheets/d/1ItG2mGa2ceCfYo0BwxsXqNm01IGEUdYcSSLTEv9YCik/edit?usp=sharing"",""เบิกจ่ายกองทุน!F11"")"),415370)</f>
        <v>415370</v>
      </c>
      <c r="R615" s="42">
        <f ca="1">IFERROR(__xludf.DUMMYFUNCTION("IMPORTRANGE(""https://docs.google.com/spreadsheets/d/1ItG2mGa2ceCfYo0BwxsXqNm01IGEUdYcSSLTEv9YCik/edit?usp=sharing"",""เบิกจ่ายกองทุน!G11"")"),336680)</f>
        <v>336680</v>
      </c>
      <c r="S615" s="42">
        <f ca="1">IFERROR(__xludf.DUMMYFUNCTION("IMPORTRANGE(""https://docs.google.com/spreadsheets/d/1ItG2mGa2ceCfYo0BwxsXqNm01IGEUdYcSSLTEv9YCik/edit?usp=sharing"",""เบิกจ่ายกองทุน!H11"")"),28770)</f>
        <v>28770</v>
      </c>
      <c r="T615" s="42">
        <f t="shared" ca="1" si="419"/>
        <v>6.9263548161879767</v>
      </c>
      <c r="U615" s="42">
        <f t="shared" ca="1" si="420"/>
        <v>8.5452061304502784</v>
      </c>
    </row>
    <row r="616" spans="1:21" ht="18.75" x14ac:dyDescent="0.25">
      <c r="A616" s="142"/>
      <c r="B616" s="170"/>
      <c r="C616" s="170"/>
      <c r="D616" s="159"/>
      <c r="E616" s="43" t="s">
        <v>166</v>
      </c>
      <c r="F616" s="36"/>
      <c r="G616" s="38"/>
      <c r="H616" s="148" t="s">
        <v>14</v>
      </c>
      <c r="I616" s="40"/>
      <c r="J616" s="40"/>
      <c r="K616" s="41"/>
      <c r="L616" s="42">
        <f t="shared" ref="L616:N616" ca="1" si="422">L619+L622</f>
        <v>0</v>
      </c>
      <c r="M616" s="42">
        <f t="shared" ca="1" si="422"/>
        <v>0</v>
      </c>
      <c r="N616" s="42">
        <f t="shared" ca="1" si="422"/>
        <v>0</v>
      </c>
      <c r="O616" s="42">
        <f t="shared" ca="1" si="416"/>
        <v>0</v>
      </c>
      <c r="P616" s="42">
        <f t="shared" ca="1" si="417"/>
        <v>0</v>
      </c>
      <c r="Q616" s="42">
        <f ca="1">IFERROR(__xludf.DUMMYFUNCTION("IMPORTRANGE(""https://docs.google.com/spreadsheets/d/12pGRKgvn2b31Uz_fjAl3XPzZUM_F2_O-zAHL2XHEPZg/edit?usp=sharing"",""รวมเหนือ!Q621"")+IMPORTRANGE(""https://docs.google.com/spreadsheets/d/1c0UfJUA6nE6esVMy0kRcX_PENtt96DMxicQpqi3tips/edit?usp=sharing"","""&amp;"รวมตะวันออกเฉียงเหนือ!Q621"")+IMPORTRANGE(""https://docs.google.com/spreadsheets/d/1iNWbYmj0agxPDl_yJgGu1eIremFPVMUuMWUKAjBzvrk/edit?usp=sharing"",""รวมกลาง!Q621"")+IMPORTRANGE(""https://docs.google.com/spreadsheets/d/1uenpWDAH2bchvfvsSIjpd4bRU5D1faxJOaE3"&amp;"4GQM5-c/edit?usp=sharing"",""รวมใต้!Q621"")"),499000)</f>
        <v>499000</v>
      </c>
      <c r="R616" s="42">
        <f ca="1">IFERROR(__xludf.DUMMYFUNCTION("IMPORTRANGE(""https://docs.google.com/spreadsheets/d/12pGRKgvn2b31Uz_fjAl3XPzZUM_F2_O-zAHL2XHEPZg/edit?usp=sharing"",""รวมเหนือ!R621"")+IMPORTRANGE(""https://docs.google.com/spreadsheets/d/1c0UfJUA6nE6esVMy0kRcX_PENtt96DMxicQpqi3tips/edit?usp=sharing"","""&amp;"รวมตะวันออกเฉียงเหนือ!R621"")+IMPORTRANGE(""https://docs.google.com/spreadsheets/d/1iNWbYmj0agxPDl_yJgGu1eIremFPVMUuMWUKAjBzvrk/edit?usp=sharing"",""รวมกลาง!R621"")+IMPORTRANGE(""https://docs.google.com/spreadsheets/d/1uenpWDAH2bchvfvsSIjpd4bRU5D1faxJOaE3"&amp;"4GQM5-c/edit?usp=sharing"",""รวมใต้!R621"")"),577690)</f>
        <v>577690</v>
      </c>
      <c r="S616" s="42">
        <f ca="1">IFERROR(__xludf.DUMMYFUNCTION("IMPORTRANGE(""https://docs.google.com/spreadsheets/d/12pGRKgvn2b31Uz_fjAl3XPzZUM_F2_O-zAHL2XHEPZg/edit?usp=sharing"",""รวมเหนือ!S621"")+IMPORTRANGE(""https://docs.google.com/spreadsheets/d/1c0UfJUA6nE6esVMy0kRcX_PENtt96DMxicQpqi3tips/edit?usp=sharing"","""&amp;"รวมตะวันออกเฉียงเหนือ!S621"")+IMPORTRANGE(""https://docs.google.com/spreadsheets/d/1iNWbYmj0agxPDl_yJgGu1eIremFPVMUuMWUKAjBzvrk/edit?usp=sharing"",""รวมกลาง!S621"")+IMPORTRANGE(""https://docs.google.com/spreadsheets/d/1uenpWDAH2bchvfvsSIjpd4bRU5D1faxJOaE3"&amp;"4GQM5-c/edit?usp=sharing"",""รวมใต้!S621"")"),227053)</f>
        <v>227053</v>
      </c>
      <c r="T616" s="42">
        <f t="shared" ca="1" si="419"/>
        <v>45.501603206412824</v>
      </c>
      <c r="U616" s="42">
        <f t="shared" ca="1" si="420"/>
        <v>39.303605740102824</v>
      </c>
    </row>
    <row r="617" spans="1:21" ht="18.75" x14ac:dyDescent="0.25">
      <c r="A617" s="142"/>
      <c r="B617" s="170"/>
      <c r="C617" s="170"/>
      <c r="D617" s="37" t="s">
        <v>22</v>
      </c>
      <c r="E617" s="36"/>
      <c r="F617" s="36"/>
      <c r="G617" s="38"/>
      <c r="H617" s="148" t="s">
        <v>14</v>
      </c>
      <c r="I617" s="149"/>
      <c r="J617" s="149"/>
      <c r="K617" s="150"/>
      <c r="L617" s="42">
        <f t="shared" ref="L617:N617" ca="1" si="423">L618+L619</f>
        <v>0</v>
      </c>
      <c r="M617" s="42">
        <f t="shared" ca="1" si="423"/>
        <v>0</v>
      </c>
      <c r="N617" s="42">
        <f t="shared" ca="1" si="423"/>
        <v>0</v>
      </c>
      <c r="O617" s="42">
        <f t="shared" ca="1" si="416"/>
        <v>0</v>
      </c>
      <c r="P617" s="42">
        <f t="shared" ca="1" si="417"/>
        <v>0</v>
      </c>
      <c r="Q617" s="42">
        <f t="shared" ref="Q617:S617" si="424">Q618+Q619</f>
        <v>0</v>
      </c>
      <c r="R617" s="42">
        <f t="shared" si="424"/>
        <v>0</v>
      </c>
      <c r="S617" s="42">
        <f t="shared" si="424"/>
        <v>0</v>
      </c>
      <c r="T617" s="42">
        <f t="shared" si="419"/>
        <v>0</v>
      </c>
      <c r="U617" s="42">
        <f t="shared" si="420"/>
        <v>0</v>
      </c>
    </row>
    <row r="618" spans="1:21" ht="18.75" x14ac:dyDescent="0.25">
      <c r="A618" s="142"/>
      <c r="B618" s="170"/>
      <c r="C618" s="170"/>
      <c r="D618" s="159"/>
      <c r="E618" s="43" t="s">
        <v>165</v>
      </c>
      <c r="F618" s="36"/>
      <c r="G618" s="38"/>
      <c r="H618" s="148" t="s">
        <v>14</v>
      </c>
      <c r="I618" s="40"/>
      <c r="J618" s="40"/>
      <c r="K618" s="41"/>
      <c r="L618" s="42">
        <f ca="1">IFERROR(__xludf.DUMMYFUNCTION("IMPORTRANGE(""https://docs.google.com/spreadsheets/d/12pGRKgvn2b31Uz_fjAl3XPzZUM_F2_O-zAHL2XHEPZg/edit?usp=sharing"",""รวมเหนือ!L620"")+IMPORTRANGE(""https://docs.google.com/spreadsheets/d/1c0UfJUA6nE6esVMy0kRcX_PENtt96DMxicQpqi3tips/edit?usp=sharing"","""&amp;"รวมตะวันออกเฉียงเหนือ!L620"")+IMPORTRANGE(""https://docs.google.com/spreadsheets/d/1iNWbYmj0agxPDl_yJgGu1eIremFPVMUuMWUKAjBzvrk/edit?usp=sharing"",""รวมกลาง!L620"")+IMPORTRANGE(""https://docs.google.com/spreadsheets/d/1uenpWDAH2bchvfvsSIjpd4bRU5D1faxJOaE3"&amp;"4GQM5-c/edit?usp=sharing"",""รวมใต้!L620"")"),0)</f>
        <v>0</v>
      </c>
      <c r="M618" s="42">
        <f ca="1">IFERROR(__xludf.DUMMYFUNCTION("IMPORTRANGE(""https://docs.google.com/spreadsheets/d/12pGRKgvn2b31Uz_fjAl3XPzZUM_F2_O-zAHL2XHEPZg/edit?usp=sharing"",""รวมเหนือ!M620"")+IMPORTRANGE(""https://docs.google.com/spreadsheets/d/1c0UfJUA6nE6esVMy0kRcX_PENtt96DMxicQpqi3tips/edit?usp=sharing"","""&amp;"รวมตะวันออกเฉียงเหนือ!M620"")+IMPORTRANGE(""https://docs.google.com/spreadsheets/d/1iNWbYmj0agxPDl_yJgGu1eIremFPVMUuMWUKAjBzvrk/edit?usp=sharing"",""รวมกลาง!M620"")+IMPORTRANGE(""https://docs.google.com/spreadsheets/d/1uenpWDAH2bchvfvsSIjpd4bRU5D1faxJOaE3"&amp;"4GQM5-c/edit?usp=sharing"",""รวมใต้!M620"")"),0)</f>
        <v>0</v>
      </c>
      <c r="N618" s="42">
        <f ca="1">IFERROR(__xludf.DUMMYFUNCTION("IMPORTRANGE(""https://docs.google.com/spreadsheets/d/12pGRKgvn2b31Uz_fjAl3XPzZUM_F2_O-zAHL2XHEPZg/edit?usp=sharing"",""รวมเหนือ!N620"")+IMPORTRANGE(""https://docs.google.com/spreadsheets/d/1c0UfJUA6nE6esVMy0kRcX_PENtt96DMxicQpqi3tips/edit?usp=sharing"","""&amp;"รวมตะวันออกเฉียงเหนือ!N620"")+IMPORTRANGE(""https://docs.google.com/spreadsheets/d/1iNWbYmj0agxPDl_yJgGu1eIremFPVMUuMWUKAjBzvrk/edit?usp=sharing"",""รวมกลาง!N620"")+IMPORTRANGE(""https://docs.google.com/spreadsheets/d/1uenpWDAH2bchvfvsSIjpd4bRU5D1faxJOaE3"&amp;"4GQM5-c/edit?usp=sharing"",""รวมใต้!N620"")"),0)</f>
        <v>0</v>
      </c>
      <c r="O618" s="42">
        <f t="shared" ca="1" si="416"/>
        <v>0</v>
      </c>
      <c r="P618" s="42">
        <f t="shared" ca="1" si="417"/>
        <v>0</v>
      </c>
      <c r="Q618" s="42">
        <v>0</v>
      </c>
      <c r="R618" s="42">
        <v>0</v>
      </c>
      <c r="S618" s="42">
        <v>0</v>
      </c>
      <c r="T618" s="42">
        <f t="shared" si="419"/>
        <v>0</v>
      </c>
      <c r="U618" s="42">
        <f t="shared" si="420"/>
        <v>0</v>
      </c>
    </row>
    <row r="619" spans="1:21" ht="18.75" x14ac:dyDescent="0.25">
      <c r="A619" s="142"/>
      <c r="B619" s="170"/>
      <c r="C619" s="170"/>
      <c r="D619" s="159"/>
      <c r="E619" s="43" t="s">
        <v>166</v>
      </c>
      <c r="F619" s="36"/>
      <c r="G619" s="38"/>
      <c r="H619" s="148" t="s">
        <v>14</v>
      </c>
      <c r="I619" s="40"/>
      <c r="J619" s="40"/>
      <c r="K619" s="41"/>
      <c r="L619" s="42">
        <f ca="1">IFERROR(__xludf.DUMMYFUNCTION("IMPORTRANGE(""https://docs.google.com/spreadsheets/d/12pGRKgvn2b31Uz_fjAl3XPzZUM_F2_O-zAHL2XHEPZg/edit?usp=sharing"",""รวมเหนือ!L621"")+IMPORTRANGE(""https://docs.google.com/spreadsheets/d/1c0UfJUA6nE6esVMy0kRcX_PENtt96DMxicQpqi3tips/edit?usp=sharing"","""&amp;"รวมตะวันออกเฉียงเหนือ!L621"")+IMPORTRANGE(""https://docs.google.com/spreadsheets/d/1iNWbYmj0agxPDl_yJgGu1eIremFPVMUuMWUKAjBzvrk/edit?usp=sharing"",""รวมกลาง!L621"")+IMPORTRANGE(""https://docs.google.com/spreadsheets/d/1uenpWDAH2bchvfvsSIjpd4bRU5D1faxJOaE3"&amp;"4GQM5-c/edit?usp=sharing"",""รวมใต้!L621"")"),0)</f>
        <v>0</v>
      </c>
      <c r="M619" s="42">
        <f ca="1">IFERROR(__xludf.DUMMYFUNCTION("IMPORTRANGE(""https://docs.google.com/spreadsheets/d/12pGRKgvn2b31Uz_fjAl3XPzZUM_F2_O-zAHL2XHEPZg/edit?usp=sharing"",""รวมเหนือ!M621"")+IMPORTRANGE(""https://docs.google.com/spreadsheets/d/1c0UfJUA6nE6esVMy0kRcX_PENtt96DMxicQpqi3tips/edit?usp=sharing"","""&amp;"รวมตะวันออกเฉียงเหนือ!M621"")+IMPORTRANGE(""https://docs.google.com/spreadsheets/d/1iNWbYmj0agxPDl_yJgGu1eIremFPVMUuMWUKAjBzvrk/edit?usp=sharing"",""รวมกลาง!M621"")+IMPORTRANGE(""https://docs.google.com/spreadsheets/d/1uenpWDAH2bchvfvsSIjpd4bRU5D1faxJOaE3"&amp;"4GQM5-c/edit?usp=sharing"",""รวมใต้!M621"")"),0)</f>
        <v>0</v>
      </c>
      <c r="N619" s="42">
        <f ca="1">IFERROR(__xludf.DUMMYFUNCTION("IMPORTRANGE(""https://docs.google.com/spreadsheets/d/12pGRKgvn2b31Uz_fjAl3XPzZUM_F2_O-zAHL2XHEPZg/edit?usp=sharing"",""รวมเหนือ!N621"")+IMPORTRANGE(""https://docs.google.com/spreadsheets/d/1c0UfJUA6nE6esVMy0kRcX_PENtt96DMxicQpqi3tips/edit?usp=sharing"","""&amp;"รวมตะวันออกเฉียงเหนือ!N621"")+IMPORTRANGE(""https://docs.google.com/spreadsheets/d/1iNWbYmj0agxPDl_yJgGu1eIremFPVMUuMWUKAjBzvrk/edit?usp=sharing"",""รวมกลาง!N621"")+IMPORTRANGE(""https://docs.google.com/spreadsheets/d/1uenpWDAH2bchvfvsSIjpd4bRU5D1faxJOaE3"&amp;"4GQM5-c/edit?usp=sharing"",""รวมใต้!N621"")"),0)</f>
        <v>0</v>
      </c>
      <c r="O619" s="42">
        <f t="shared" ca="1" si="416"/>
        <v>0</v>
      </c>
      <c r="P619" s="42">
        <f t="shared" ca="1" si="417"/>
        <v>0</v>
      </c>
      <c r="Q619" s="42">
        <v>0</v>
      </c>
      <c r="R619" s="42">
        <v>0</v>
      </c>
      <c r="S619" s="42">
        <v>0</v>
      </c>
      <c r="T619" s="42">
        <f t="shared" si="419"/>
        <v>0</v>
      </c>
      <c r="U619" s="42">
        <f t="shared" si="420"/>
        <v>0</v>
      </c>
    </row>
    <row r="620" spans="1:21" ht="18.75" x14ac:dyDescent="0.25">
      <c r="A620" s="142"/>
      <c r="B620" s="170"/>
      <c r="C620" s="170"/>
      <c r="D620" s="37" t="s">
        <v>23</v>
      </c>
      <c r="E620" s="36"/>
      <c r="F620" s="36"/>
      <c r="G620" s="38"/>
      <c r="H620" s="151" t="s">
        <v>14</v>
      </c>
      <c r="I620" s="149"/>
      <c r="J620" s="149"/>
      <c r="K620" s="150"/>
      <c r="L620" s="42">
        <f t="shared" ref="L620:N620" ca="1" si="425">L621+L622</f>
        <v>0</v>
      </c>
      <c r="M620" s="42">
        <f t="shared" ca="1" si="425"/>
        <v>0</v>
      </c>
      <c r="N620" s="42">
        <f t="shared" ca="1" si="425"/>
        <v>0</v>
      </c>
      <c r="O620" s="42">
        <f t="shared" ca="1" si="416"/>
        <v>0</v>
      </c>
      <c r="P620" s="42">
        <f t="shared" ca="1" si="417"/>
        <v>0</v>
      </c>
      <c r="Q620" s="42">
        <f t="shared" ref="Q620:S620" ca="1" si="426">Q621+Q622</f>
        <v>0</v>
      </c>
      <c r="R620" s="42">
        <f t="shared" ca="1" si="426"/>
        <v>0</v>
      </c>
      <c r="S620" s="42">
        <f t="shared" ca="1" si="426"/>
        <v>0</v>
      </c>
      <c r="T620" s="42">
        <f t="shared" ca="1" si="419"/>
        <v>0</v>
      </c>
      <c r="U620" s="42">
        <f t="shared" ca="1" si="420"/>
        <v>0</v>
      </c>
    </row>
    <row r="621" spans="1:21" ht="18.75" x14ac:dyDescent="0.25">
      <c r="A621" s="142"/>
      <c r="B621" s="170"/>
      <c r="C621" s="170"/>
      <c r="D621" s="170"/>
      <c r="E621" s="43" t="s">
        <v>20</v>
      </c>
      <c r="F621" s="36"/>
      <c r="G621" s="38"/>
      <c r="H621" s="148" t="s">
        <v>14</v>
      </c>
      <c r="I621" s="149"/>
      <c r="J621" s="149"/>
      <c r="K621" s="150"/>
      <c r="L621" s="42">
        <f ca="1">IFERROR(__xludf.DUMMYFUNCTION("IMPORTRANGE(""https://docs.google.com/spreadsheets/d/12pGRKgvn2b31Uz_fjAl3XPzZUM_F2_O-zAHL2XHEPZg/edit?usp=sharing"",""รวมเหนือ!L623"")+IMPORTRANGE(""https://docs.google.com/spreadsheets/d/1c0UfJUA6nE6esVMy0kRcX_PENtt96DMxicQpqi3tips/edit?usp=sharing"","""&amp;"รวมตะวันออกเฉียงเหนือ!L623"")+IMPORTRANGE(""https://docs.google.com/spreadsheets/d/1iNWbYmj0agxPDl_yJgGu1eIremFPVMUuMWUKAjBzvrk/edit?usp=sharing"",""รวมกลาง!L623"")+IMPORTRANGE(""https://docs.google.com/spreadsheets/d/1uenpWDAH2bchvfvsSIjpd4bRU5D1faxJOaE3"&amp;"4GQM5-c/edit?usp=sharing"",""รวมใต้!L623"")"),0)</f>
        <v>0</v>
      </c>
      <c r="M621" s="42">
        <f ca="1">IFERROR(__xludf.DUMMYFUNCTION("IMPORTRANGE(""https://docs.google.com/spreadsheets/d/12pGRKgvn2b31Uz_fjAl3XPzZUM_F2_O-zAHL2XHEPZg/edit?usp=sharing"",""รวมเหนือ!M623"")+IMPORTRANGE(""https://docs.google.com/spreadsheets/d/1c0UfJUA6nE6esVMy0kRcX_PENtt96DMxicQpqi3tips/edit?usp=sharing"","""&amp;"รวมตะวันออกเฉียงเหนือ!M623"")+IMPORTRANGE(""https://docs.google.com/spreadsheets/d/1iNWbYmj0agxPDl_yJgGu1eIremFPVMUuMWUKAjBzvrk/edit?usp=sharing"",""รวมกลาง!M623"")+IMPORTRANGE(""https://docs.google.com/spreadsheets/d/1uenpWDAH2bchvfvsSIjpd4bRU5D1faxJOaE3"&amp;"4GQM5-c/edit?usp=sharing"",""รวมใต้!M623"")"),0)</f>
        <v>0</v>
      </c>
      <c r="N621" s="42">
        <f ca="1">IFERROR(__xludf.DUMMYFUNCTION("IMPORTRANGE(""https://docs.google.com/spreadsheets/d/12pGRKgvn2b31Uz_fjAl3XPzZUM_F2_O-zAHL2XHEPZg/edit?usp=sharing"",""รวมเหนือ!N623"")+IMPORTRANGE(""https://docs.google.com/spreadsheets/d/1c0UfJUA6nE6esVMy0kRcX_PENtt96DMxicQpqi3tips/edit?usp=sharing"","""&amp;"รวมตะวันออกเฉียงเหนือ!N623"")+IMPORTRANGE(""https://docs.google.com/spreadsheets/d/1iNWbYmj0agxPDl_yJgGu1eIremFPVMUuMWUKAjBzvrk/edit?usp=sharing"",""รวมกลาง!N623"")+IMPORTRANGE(""https://docs.google.com/spreadsheets/d/1uenpWDAH2bchvfvsSIjpd4bRU5D1faxJOaE3"&amp;"4GQM5-c/edit?usp=sharing"",""รวมใต้!N623"")"),0)</f>
        <v>0</v>
      </c>
      <c r="O621" s="42">
        <f t="shared" ca="1" si="416"/>
        <v>0</v>
      </c>
      <c r="P621" s="42">
        <f t="shared" ca="1" si="417"/>
        <v>0</v>
      </c>
      <c r="Q621" s="42">
        <v>0</v>
      </c>
      <c r="R621" s="42">
        <v>0</v>
      </c>
      <c r="S621" s="42">
        <v>0</v>
      </c>
      <c r="T621" s="42">
        <f t="shared" si="419"/>
        <v>0</v>
      </c>
      <c r="U621" s="42">
        <f t="shared" si="420"/>
        <v>0</v>
      </c>
    </row>
    <row r="622" spans="1:21" ht="18.75" x14ac:dyDescent="0.25">
      <c r="A622" s="142"/>
      <c r="B622" s="170"/>
      <c r="C622" s="170"/>
      <c r="D622" s="170"/>
      <c r="E622" s="43" t="s">
        <v>21</v>
      </c>
      <c r="F622" s="36"/>
      <c r="G622" s="38"/>
      <c r="H622" s="151" t="s">
        <v>14</v>
      </c>
      <c r="I622" s="149"/>
      <c r="J622" s="149"/>
      <c r="K622" s="150"/>
      <c r="L622" s="42">
        <f ca="1">IFERROR(__xludf.DUMMYFUNCTION("IMPORTRANGE(""https://docs.google.com/spreadsheets/d/12pGRKgvn2b31Uz_fjAl3XPzZUM_F2_O-zAHL2XHEPZg/edit?usp=sharing"",""รวมเหนือ!L624"")+IMPORTRANGE(""https://docs.google.com/spreadsheets/d/1c0UfJUA6nE6esVMy0kRcX_PENtt96DMxicQpqi3tips/edit?usp=sharing"","""&amp;"รวมตะวันออกเฉียงเหนือ!L624"")+IMPORTRANGE(""https://docs.google.com/spreadsheets/d/1iNWbYmj0agxPDl_yJgGu1eIremFPVMUuMWUKAjBzvrk/edit?usp=sharing"",""รวมกลาง!L624"")+IMPORTRANGE(""https://docs.google.com/spreadsheets/d/1uenpWDAH2bchvfvsSIjpd4bRU5D1faxJOaE3"&amp;"4GQM5-c/edit?usp=sharing"",""รวมใต้!L624"")"),0)</f>
        <v>0</v>
      </c>
      <c r="M622" s="42">
        <f ca="1">IFERROR(__xludf.DUMMYFUNCTION("IMPORTRANGE(""https://docs.google.com/spreadsheets/d/12pGRKgvn2b31Uz_fjAl3XPzZUM_F2_O-zAHL2XHEPZg/edit?usp=sharing"",""รวมเหนือ!M624"")+IMPORTRANGE(""https://docs.google.com/spreadsheets/d/1c0UfJUA6nE6esVMy0kRcX_PENtt96DMxicQpqi3tips/edit?usp=sharing"","""&amp;"รวมตะวันออกเฉียงเหนือ!M624"")+IMPORTRANGE(""https://docs.google.com/spreadsheets/d/1iNWbYmj0agxPDl_yJgGu1eIremFPVMUuMWUKAjBzvrk/edit?usp=sharing"",""รวมกลาง!M624"")+IMPORTRANGE(""https://docs.google.com/spreadsheets/d/1uenpWDAH2bchvfvsSIjpd4bRU5D1faxJOaE3"&amp;"4GQM5-c/edit?usp=sharing"",""รวมใต้!M624"")"),0)</f>
        <v>0</v>
      </c>
      <c r="N622" s="42">
        <f ca="1">IFERROR(__xludf.DUMMYFUNCTION("IMPORTRANGE(""https://docs.google.com/spreadsheets/d/12pGRKgvn2b31Uz_fjAl3XPzZUM_F2_O-zAHL2XHEPZg/edit?usp=sharing"",""รวมเหนือ!N624"")+IMPORTRANGE(""https://docs.google.com/spreadsheets/d/1c0UfJUA6nE6esVMy0kRcX_PENtt96DMxicQpqi3tips/edit?usp=sharing"","""&amp;"รวมตะวันออกเฉียงเหนือ!N624"")+IMPORTRANGE(""https://docs.google.com/spreadsheets/d/1iNWbYmj0agxPDl_yJgGu1eIremFPVMUuMWUKAjBzvrk/edit?usp=sharing"",""รวมกลาง!N624"")+IMPORTRANGE(""https://docs.google.com/spreadsheets/d/1uenpWDAH2bchvfvsSIjpd4bRU5D1faxJOaE3"&amp;"4GQM5-c/edit?usp=sharing"",""รวมใต้!N624"")"),0)</f>
        <v>0</v>
      </c>
      <c r="O622" s="42">
        <f t="shared" ca="1" si="416"/>
        <v>0</v>
      </c>
      <c r="P622" s="42">
        <f t="shared" ca="1" si="417"/>
        <v>0</v>
      </c>
      <c r="Q622" s="42">
        <f ca="1">IFERROR(__xludf.DUMMYFUNCTION("IMPORTRANGE(""https://docs.google.com/spreadsheets/d/12pGRKgvn2b31Uz_fjAl3XPzZUM_F2_O-zAHL2XHEPZg/edit?usp=sharing"",""รวมเหนือ!Q624"")+IMPORTRANGE(""https://docs.google.com/spreadsheets/d/1c0UfJUA6nE6esVMy0kRcX_PENtt96DMxicQpqi3tips/edit?usp=sharing"","""&amp;"รวมตะวันออกเฉียงเหนือ!Q624"")+IMPORTRANGE(""https://docs.google.com/spreadsheets/d/1iNWbYmj0agxPDl_yJgGu1eIremFPVMUuMWUKAjBzvrk/edit?usp=sharing"",""รวมกลาง!Q624"")+IMPORTRANGE(""https://docs.google.com/spreadsheets/d/1uenpWDAH2bchvfvsSIjpd4bRU5D1faxJOaE3"&amp;"4GQM5-c/edit?usp=sharing"",""รวมใต้!Q624"")"),0)</f>
        <v>0</v>
      </c>
      <c r="R622" s="42">
        <f ca="1">IFERROR(__xludf.DUMMYFUNCTION("IMPORTRANGE(""https://docs.google.com/spreadsheets/d/12pGRKgvn2b31Uz_fjAl3XPzZUM_F2_O-zAHL2XHEPZg/edit?usp=sharing"",""รวมเหนือ!R624"")+IMPORTRANGE(""https://docs.google.com/spreadsheets/d/1c0UfJUA6nE6esVMy0kRcX_PENtt96DMxicQpqi3tips/edit?usp=sharing"","""&amp;"รวมตะวันออกเฉียงเหนือ!R624"")+IMPORTRANGE(""https://docs.google.com/spreadsheets/d/1iNWbYmj0agxPDl_yJgGu1eIremFPVMUuMWUKAjBzvrk/edit?usp=sharing"",""รวมกลาง!R624"")+IMPORTRANGE(""https://docs.google.com/spreadsheets/d/1uenpWDAH2bchvfvsSIjpd4bRU5D1faxJOaE3"&amp;"4GQM5-c/edit?usp=sharing"",""รวมใต้!R624"")"),0)</f>
        <v>0</v>
      </c>
      <c r="S622" s="42">
        <f ca="1">IFERROR(__xludf.DUMMYFUNCTION("IMPORTRANGE(""https://docs.google.com/spreadsheets/d/12pGRKgvn2b31Uz_fjAl3XPzZUM_F2_O-zAHL2XHEPZg/edit?usp=sharing"",""รวมเหนือ!S624"")+IMPORTRANGE(""https://docs.google.com/spreadsheets/d/1c0UfJUA6nE6esVMy0kRcX_PENtt96DMxicQpqi3tips/edit?usp=sharing"","""&amp;"รวมตะวันออกเฉียงเหนือ!S624"")+IMPORTRANGE(""https://docs.google.com/spreadsheets/d/1iNWbYmj0agxPDl_yJgGu1eIremFPVMUuMWUKAjBzvrk/edit?usp=sharing"",""รวมกลาง!S624"")+IMPORTRANGE(""https://docs.google.com/spreadsheets/d/1uenpWDAH2bchvfvsSIjpd4bRU5D1faxJOaE3"&amp;"4GQM5-c/edit?usp=sharing"",""รวมใต้!S624"")"),0)</f>
        <v>0</v>
      </c>
      <c r="T622" s="42">
        <f t="shared" ca="1" si="419"/>
        <v>0</v>
      </c>
      <c r="U622" s="42">
        <f t="shared" ca="1" si="420"/>
        <v>0</v>
      </c>
    </row>
    <row r="623" spans="1:21" ht="19.5" x14ac:dyDescent="0.3">
      <c r="A623" s="152"/>
      <c r="B623" s="153"/>
      <c r="C623" s="143" t="s">
        <v>18</v>
      </c>
      <c r="D623" s="448" t="s">
        <v>38</v>
      </c>
      <c r="E623" s="155"/>
      <c r="F623" s="155"/>
      <c r="G623" s="156"/>
      <c r="H623" s="185"/>
      <c r="I623" s="149"/>
      <c r="J623" s="149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</row>
    <row r="624" spans="1:21" ht="19.5" x14ac:dyDescent="0.3">
      <c r="A624" s="152"/>
      <c r="B624" s="153"/>
      <c r="C624" s="153"/>
      <c r="D624" s="415" t="s">
        <v>233</v>
      </c>
      <c r="E624" s="159"/>
      <c r="F624" s="159"/>
      <c r="G624" s="157"/>
      <c r="H624" s="414" t="s">
        <v>46</v>
      </c>
      <c r="I624" s="161">
        <f ca="1">IFERROR(__xludf.DUMMYFUNCTION("IMPORTRANGE(""https://docs.google.com/spreadsheets/d/12pGRKgvn2b31Uz_fjAl3XPzZUM_F2_O-zAHL2XHEPZg/edit?usp=sharing"",""รวมเหนือ!I626"")+IMPORTRANGE(""https://docs.google.com/spreadsheets/d/1c0UfJUA6nE6esVMy0kRcX_PENtt96DMxicQpqi3tips/edit?usp=sharing"","""&amp;"รวมตะวันออกเฉียงเหนือ!I626"")+IMPORTRANGE(""https://docs.google.com/spreadsheets/d/1iNWbYmj0agxPDl_yJgGu1eIremFPVMUuMWUKAjBzvrk/edit?usp=sharing"",""รวมกลาง!I626"")+IMPORTRANGE(""https://docs.google.com/spreadsheets/d/1uenpWDAH2bchvfvsSIjpd4bRU5D1faxJOaE3"&amp;"4GQM5-c/edit?usp=sharing"",""รวมใต้!I626"")"),3610)</f>
        <v>3610</v>
      </c>
      <c r="J624" s="161">
        <f ca="1">J630</f>
        <v>68.02</v>
      </c>
      <c r="K624" s="146">
        <f ca="1">IF(I624&gt;0,J624*100/I624,0)</f>
        <v>1.8842105263157896</v>
      </c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</row>
    <row r="625" spans="1:21" ht="18.75" x14ac:dyDescent="0.25">
      <c r="A625" s="152"/>
      <c r="B625" s="153"/>
      <c r="C625" s="153"/>
      <c r="D625" s="153"/>
      <c r="E625" s="163" t="s">
        <v>234</v>
      </c>
      <c r="F625" s="159"/>
      <c r="G625" s="157"/>
      <c r="H625" s="151" t="s">
        <v>61</v>
      </c>
      <c r="I625" s="176">
        <f ca="1">IFERROR(__xludf.DUMMYFUNCTION("IMPORTRANGE(""https://docs.google.com/spreadsheets/d/12pGRKgvn2b31Uz_fjAl3XPzZUM_F2_O-zAHL2XHEPZg/edit?usp=sharing"",""รวมเหนือ!I627"")+IMPORTRANGE(""https://docs.google.com/spreadsheets/d/1c0UfJUA6nE6esVMy0kRcX_PENtt96DMxicQpqi3tips/edit?usp=sharing"","""&amp;"รวมตะวันออกเฉียงเหนือ!I627"")+IMPORTRANGE(""https://docs.google.com/spreadsheets/d/1iNWbYmj0agxPDl_yJgGu1eIremFPVMUuMWUKAjBzvrk/edit?usp=sharing"",""รวมกลาง!I627"")+IMPORTRANGE(""https://docs.google.com/spreadsheets/d/1uenpWDAH2bchvfvsSIjpd4bRU5D1faxJOaE3"&amp;"4GQM5-c/edit?usp=sharing"",""รวมใต้!I627"")"),30)</f>
        <v>30</v>
      </c>
      <c r="J625" s="176">
        <f ca="1">IFERROR(__xludf.DUMMYFUNCTION("IMPORTRANGE(""https://docs.google.com/spreadsheets/d/12pGRKgvn2b31Uz_fjAl3XPzZUM_F2_O-zAHL2XHEPZg/edit?usp=sharing"",""รวมเหนือ!J627"")+IMPORTRANGE(""https://docs.google.com/spreadsheets/d/1c0UfJUA6nE6esVMy0kRcX_PENtt96DMxicQpqi3tips/edit?usp=sharing"","""&amp;"รวมตะวันออกเฉียงเหนือ!J627"")+IMPORTRANGE(""https://docs.google.com/spreadsheets/d/1iNWbYmj0agxPDl_yJgGu1eIremFPVMUuMWUKAjBzvrk/edit?usp=sharing"",""รวมกลาง!J627"")+IMPORTRANGE(""https://docs.google.com/spreadsheets/d/1uenpWDAH2bchvfvsSIjpd4bRU5D1faxJOaE3"&amp;"4GQM5-c/edit?usp=sharing"",""รวมใต้!J627"")"),171)</f>
        <v>171</v>
      </c>
      <c r="K625" s="42">
        <f t="shared" ref="K625:K626" ca="1" si="427">IF(I625&gt;0,(J625*100)/I625,0)</f>
        <v>570</v>
      </c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</row>
    <row r="626" spans="1:21" ht="18.75" x14ac:dyDescent="0.25">
      <c r="A626" s="152"/>
      <c r="B626" s="153"/>
      <c r="C626" s="153"/>
      <c r="D626" s="153"/>
      <c r="E626" s="163" t="s">
        <v>235</v>
      </c>
      <c r="F626" s="159"/>
      <c r="G626" s="157"/>
      <c r="H626" s="151" t="s">
        <v>61</v>
      </c>
      <c r="I626" s="176">
        <f ca="1">IFERROR(__xludf.DUMMYFUNCTION("IMPORTRANGE(""https://docs.google.com/spreadsheets/d/12pGRKgvn2b31Uz_fjAl3XPzZUM_F2_O-zAHL2XHEPZg/edit?usp=sharing"",""รวมเหนือ!I628"")+IMPORTRANGE(""https://docs.google.com/spreadsheets/d/1c0UfJUA6nE6esVMy0kRcX_PENtt96DMxicQpqi3tips/edit?usp=sharing"","""&amp;"รวมตะวันออกเฉียงเหนือ!I628"")+IMPORTRANGE(""https://docs.google.com/spreadsheets/d/1iNWbYmj0agxPDl_yJgGu1eIremFPVMUuMWUKAjBzvrk/edit?usp=sharing"",""รวมกลาง!I628"")+IMPORTRANGE(""https://docs.google.com/spreadsheets/d/1uenpWDAH2bchvfvsSIjpd4bRU5D1faxJOaE3"&amp;"4GQM5-c/edit?usp=sharing"",""รวมใต้!I628"")"),30)</f>
        <v>30</v>
      </c>
      <c r="J626" s="176">
        <f ca="1">IFERROR(__xludf.DUMMYFUNCTION("IMPORTRANGE(""https://docs.google.com/spreadsheets/d/12pGRKgvn2b31Uz_fjAl3XPzZUM_F2_O-zAHL2XHEPZg/edit?usp=sharing"",""รวมเหนือ!J628"")+IMPORTRANGE(""https://docs.google.com/spreadsheets/d/1c0UfJUA6nE6esVMy0kRcX_PENtt96DMxicQpqi3tips/edit?usp=sharing"","""&amp;"รวมตะวันออกเฉียงเหนือ!J628"")+IMPORTRANGE(""https://docs.google.com/spreadsheets/d/1iNWbYmj0agxPDl_yJgGu1eIremFPVMUuMWUKAjBzvrk/edit?usp=sharing"",""รวมกลาง!J628"")+IMPORTRANGE(""https://docs.google.com/spreadsheets/d/1uenpWDAH2bchvfvsSIjpd4bRU5D1faxJOaE3"&amp;"4GQM5-c/edit?usp=sharing"",""รวมใต้!J628"")"),349)</f>
        <v>349</v>
      </c>
      <c r="K626" s="42">
        <f t="shared" ca="1" si="427"/>
        <v>1163.3333333333333</v>
      </c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</row>
    <row r="627" spans="1:21" ht="18.75" x14ac:dyDescent="0.25">
      <c r="A627" s="152"/>
      <c r="B627" s="153"/>
      <c r="C627" s="153"/>
      <c r="D627" s="153"/>
      <c r="E627" s="163" t="s">
        <v>236</v>
      </c>
      <c r="F627" s="159"/>
      <c r="G627" s="157"/>
      <c r="H627" s="151" t="s">
        <v>46</v>
      </c>
      <c r="I627" s="40"/>
      <c r="J627" s="176">
        <f ca="1">IFERROR(__xludf.DUMMYFUNCTION("IMPORTRANGE(""https://docs.google.com/spreadsheets/d/12pGRKgvn2b31Uz_fjAl3XPzZUM_F2_O-zAHL2XHEPZg/edit?usp=sharing"",""รวมเหนือ!J629"")+IMPORTRANGE(""https://docs.google.com/spreadsheets/d/1c0UfJUA6nE6esVMy0kRcX_PENtt96DMxicQpqi3tips/edit?usp=sharing"","""&amp;"รวมตะวันออกเฉียงเหนือ!J629"")+IMPORTRANGE(""https://docs.google.com/spreadsheets/d/1iNWbYmj0agxPDl_yJgGu1eIremFPVMUuMWUKAjBzvrk/edit?usp=sharing"",""รวมกลาง!J629"")+IMPORTRANGE(""https://docs.google.com/spreadsheets/d/1uenpWDAH2bchvfvsSIjpd4bRU5D1faxJOaE3"&amp;"4GQM5-c/edit?usp=sharing"",""รวมใต้!J629"")"),6166.38)</f>
        <v>6166.38</v>
      </c>
      <c r="K627" s="42">
        <f t="shared" ref="K627:K629" ca="1" si="428">IF(I$624&gt;0,J627*100/I$624,0)</f>
        <v>170.81385041551246</v>
      </c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</row>
    <row r="628" spans="1:21" ht="18.75" x14ac:dyDescent="0.25">
      <c r="A628" s="152"/>
      <c r="B628" s="153"/>
      <c r="C628" s="153"/>
      <c r="D628" s="153"/>
      <c r="E628" s="163" t="s">
        <v>237</v>
      </c>
      <c r="F628" s="159"/>
      <c r="G628" s="157"/>
      <c r="H628" s="151" t="s">
        <v>46</v>
      </c>
      <c r="I628" s="40"/>
      <c r="J628" s="176">
        <f ca="1">IFERROR(__xludf.DUMMYFUNCTION("IMPORTRANGE(""https://docs.google.com/spreadsheets/d/12pGRKgvn2b31Uz_fjAl3XPzZUM_F2_O-zAHL2XHEPZg/edit?usp=sharing"",""รวมเหนือ!J630"")+IMPORTRANGE(""https://docs.google.com/spreadsheets/d/1c0UfJUA6nE6esVMy0kRcX_PENtt96DMxicQpqi3tips/edit?usp=sharing"","""&amp;"รวมตะวันออกเฉียงเหนือ!J630"")+IMPORTRANGE(""https://docs.google.com/spreadsheets/d/1iNWbYmj0agxPDl_yJgGu1eIremFPVMUuMWUKAjBzvrk/edit?usp=sharing"",""รวมกลาง!J630"")+IMPORTRANGE(""https://docs.google.com/spreadsheets/d/1uenpWDAH2bchvfvsSIjpd4bRU5D1faxJOaE3"&amp;"4GQM5-c/edit?usp=sharing"",""รวมใต้!J630"")"),2365.63)</f>
        <v>2365.63</v>
      </c>
      <c r="K628" s="42">
        <f t="shared" ca="1" si="428"/>
        <v>65.529916897506922</v>
      </c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</row>
    <row r="629" spans="1:21" ht="18.75" x14ac:dyDescent="0.25">
      <c r="A629" s="152"/>
      <c r="B629" s="153"/>
      <c r="C629" s="153"/>
      <c r="D629" s="153"/>
      <c r="E629" s="163" t="s">
        <v>238</v>
      </c>
      <c r="F629" s="159"/>
      <c r="G629" s="157"/>
      <c r="H629" s="151" t="s">
        <v>46</v>
      </c>
      <c r="I629" s="40"/>
      <c r="J629" s="176">
        <f ca="1">IFERROR(__xludf.DUMMYFUNCTION("IMPORTRANGE(""https://docs.google.com/spreadsheets/d/12pGRKgvn2b31Uz_fjAl3XPzZUM_F2_O-zAHL2XHEPZg/edit?usp=sharing"",""รวมเหนือ!J631"")+IMPORTRANGE(""https://docs.google.com/spreadsheets/d/1c0UfJUA6nE6esVMy0kRcX_PENtt96DMxicQpqi3tips/edit?usp=sharing"","""&amp;"รวมตะวันออกเฉียงเหนือ!J631"")+IMPORTRANGE(""https://docs.google.com/spreadsheets/d/1iNWbYmj0agxPDl_yJgGu1eIremFPVMUuMWUKAjBzvrk/edit?usp=sharing"",""รวมกลาง!J631"")+IMPORTRANGE(""https://docs.google.com/spreadsheets/d/1uenpWDAH2bchvfvsSIjpd4bRU5D1faxJOaE3"&amp;"4GQM5-c/edit?usp=sharing"",""รวมใต้!J631"")"),569.63)</f>
        <v>569.63</v>
      </c>
      <c r="K629" s="42">
        <f t="shared" ca="1" si="428"/>
        <v>15.779224376731301</v>
      </c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</row>
    <row r="630" spans="1:21" ht="19.5" x14ac:dyDescent="0.3">
      <c r="A630" s="152"/>
      <c r="B630" s="153"/>
      <c r="C630" s="153"/>
      <c r="D630" s="153"/>
      <c r="E630" s="163" t="s">
        <v>239</v>
      </c>
      <c r="F630" s="159"/>
      <c r="G630" s="157"/>
      <c r="H630" s="151" t="s">
        <v>46</v>
      </c>
      <c r="I630" s="40"/>
      <c r="J630" s="161">
        <f ca="1">J631+J632</f>
        <v>68.02</v>
      </c>
      <c r="K630" s="146">
        <f ca="1">IF(I624&gt;0,J630*100/I624,0)</f>
        <v>1.8842105263157896</v>
      </c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</row>
    <row r="631" spans="1:21" ht="18.75" x14ac:dyDescent="0.25">
      <c r="A631" s="152"/>
      <c r="B631" s="153"/>
      <c r="C631" s="153"/>
      <c r="D631" s="153"/>
      <c r="E631" s="159"/>
      <c r="F631" s="163" t="s">
        <v>240</v>
      </c>
      <c r="G631" s="157"/>
      <c r="H631" s="151" t="s">
        <v>46</v>
      </c>
      <c r="I631" s="40"/>
      <c r="J631" s="176">
        <f ca="1">IFERROR(__xludf.DUMMYFUNCTION("IMPORTRANGE(""https://docs.google.com/spreadsheets/d/12pGRKgvn2b31Uz_fjAl3XPzZUM_F2_O-zAHL2XHEPZg/edit?usp=sharing"",""รวมเหนือ!J633"")+IMPORTRANGE(""https://docs.google.com/spreadsheets/d/1c0UfJUA6nE6esVMy0kRcX_PENtt96DMxicQpqi3tips/edit?usp=sharing"","""&amp;"รวมตะวันออกเฉียงเหนือ!J633"")+IMPORTRANGE(""https://docs.google.com/spreadsheets/d/1iNWbYmj0agxPDl_yJgGu1eIremFPVMUuMWUKAjBzvrk/edit?usp=sharing"",""รวมกลาง!J633"")+IMPORTRANGE(""https://docs.google.com/spreadsheets/d/1uenpWDAH2bchvfvsSIjpd4bRU5D1faxJOaE3"&amp;"4GQM5-c/edit?usp=sharing"",""รวมใต้!J633"")"),68.02)</f>
        <v>68.02</v>
      </c>
      <c r="K631" s="41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</row>
    <row r="632" spans="1:21" ht="18.75" x14ac:dyDescent="0.25">
      <c r="A632" s="152"/>
      <c r="B632" s="153"/>
      <c r="C632" s="153"/>
      <c r="D632" s="153"/>
      <c r="E632" s="159"/>
      <c r="F632" s="163" t="s">
        <v>241</v>
      </c>
      <c r="G632" s="157"/>
      <c r="H632" s="151" t="s">
        <v>46</v>
      </c>
      <c r="I632" s="40"/>
      <c r="J632" s="176">
        <f ca="1">IFERROR(__xludf.DUMMYFUNCTION("IMPORTRANGE(""https://docs.google.com/spreadsheets/d/12pGRKgvn2b31Uz_fjAl3XPzZUM_F2_O-zAHL2XHEPZg/edit?usp=sharing"",""รวมเหนือ!J634"")+IMPORTRANGE(""https://docs.google.com/spreadsheets/d/1c0UfJUA6nE6esVMy0kRcX_PENtt96DMxicQpqi3tips/edit?usp=sharing"","""&amp;"รวมตะวันออกเฉียงเหนือ!J634"")+IMPORTRANGE(""https://docs.google.com/spreadsheets/d/1iNWbYmj0agxPDl_yJgGu1eIremFPVMUuMWUKAjBzvrk/edit?usp=sharing"",""รวมกลาง!J634"")+IMPORTRANGE(""https://docs.google.com/spreadsheets/d/1uenpWDAH2bchvfvsSIjpd4bRU5D1faxJOaE3"&amp;"4GQM5-c/edit?usp=sharing"",""รวมใต้!J634"")"),0)</f>
        <v>0</v>
      </c>
      <c r="K632" s="41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</row>
    <row r="633" spans="1:21" ht="19.5" x14ac:dyDescent="0.3">
      <c r="A633" s="152"/>
      <c r="B633" s="153"/>
      <c r="C633" s="153"/>
      <c r="D633" s="415" t="s">
        <v>242</v>
      </c>
      <c r="E633" s="159"/>
      <c r="F633" s="159"/>
      <c r="G633" s="157"/>
      <c r="H633" s="151" t="s">
        <v>46</v>
      </c>
      <c r="I633" s="161">
        <f ca="1">IFERROR(__xludf.DUMMYFUNCTION("IMPORTRANGE(""https://docs.google.com/spreadsheets/d/12pGRKgvn2b31Uz_fjAl3XPzZUM_F2_O-zAHL2XHEPZg/edit?usp=sharing"",""รวมเหนือ!I635"")+IMPORTRANGE(""https://docs.google.com/spreadsheets/d/1c0UfJUA6nE6esVMy0kRcX_PENtt96DMxicQpqi3tips/edit?usp=sharing"","""&amp;"รวมตะวันออกเฉียงเหนือ!I635"")+IMPORTRANGE(""https://docs.google.com/spreadsheets/d/1iNWbYmj0agxPDl_yJgGu1eIremFPVMUuMWUKAjBzvrk/edit?usp=sharing"",""รวมกลาง!I635"")+IMPORTRANGE(""https://docs.google.com/spreadsheets/d/1uenpWDAH2bchvfvsSIjpd4bRU5D1faxJOaE3"&amp;"4GQM5-c/edit?usp=sharing"",""รวมใต้!I635"")"),0)</f>
        <v>0</v>
      </c>
      <c r="J633" s="161">
        <f ca="1">J634</f>
        <v>179</v>
      </c>
      <c r="K633" s="146">
        <f ca="1">IF(I633&gt;0,J633*100/I633,0)</f>
        <v>0</v>
      </c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</row>
    <row r="634" spans="1:21" ht="18.75" x14ac:dyDescent="0.25">
      <c r="A634" s="152"/>
      <c r="B634" s="153"/>
      <c r="C634" s="153"/>
      <c r="D634" s="153"/>
      <c r="E634" s="163" t="s">
        <v>243</v>
      </c>
      <c r="F634" s="159"/>
      <c r="G634" s="157"/>
      <c r="H634" s="151" t="s">
        <v>46</v>
      </c>
      <c r="I634" s="40"/>
      <c r="J634" s="176">
        <f ca="1">J635+J636</f>
        <v>179</v>
      </c>
      <c r="K634" s="41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</row>
    <row r="635" spans="1:21" ht="18.75" x14ac:dyDescent="0.25">
      <c r="A635" s="152"/>
      <c r="B635" s="153"/>
      <c r="C635" s="153"/>
      <c r="D635" s="153"/>
      <c r="E635" s="159"/>
      <c r="F635" s="163" t="s">
        <v>240</v>
      </c>
      <c r="G635" s="157"/>
      <c r="H635" s="151" t="s">
        <v>46</v>
      </c>
      <c r="I635" s="40"/>
      <c r="J635" s="176">
        <f ca="1">IFERROR(__xludf.DUMMYFUNCTION("IMPORTRANGE(""https://docs.google.com/spreadsheets/d/12pGRKgvn2b31Uz_fjAl3XPzZUM_F2_O-zAHL2XHEPZg/edit?usp=sharing"",""รวมเหนือ!J637"")+IMPORTRANGE(""https://docs.google.com/spreadsheets/d/1c0UfJUA6nE6esVMy0kRcX_PENtt96DMxicQpqi3tips/edit?usp=sharing"","""&amp;"รวมตะวันออกเฉียงเหนือ!J637"")+IMPORTRANGE(""https://docs.google.com/spreadsheets/d/1iNWbYmj0agxPDl_yJgGu1eIremFPVMUuMWUKAjBzvrk/edit?usp=sharing"",""รวมกลาง!J637"")+IMPORTRANGE(""https://docs.google.com/spreadsheets/d/1uenpWDAH2bchvfvsSIjpd4bRU5D1faxJOaE3"&amp;"4GQM5-c/edit?usp=sharing"",""รวมใต้!J637"")"),0)</f>
        <v>0</v>
      </c>
      <c r="K635" s="41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</row>
    <row r="636" spans="1:21" ht="18.75" x14ac:dyDescent="0.25">
      <c r="A636" s="152"/>
      <c r="B636" s="153"/>
      <c r="C636" s="153"/>
      <c r="D636" s="153"/>
      <c r="E636" s="159"/>
      <c r="F636" s="163" t="s">
        <v>241</v>
      </c>
      <c r="G636" s="157"/>
      <c r="H636" s="151" t="s">
        <v>46</v>
      </c>
      <c r="I636" s="40"/>
      <c r="J636" s="176">
        <f ca="1">IFERROR(__xludf.DUMMYFUNCTION("IMPORTRANGE(""https://docs.google.com/spreadsheets/d/12pGRKgvn2b31Uz_fjAl3XPzZUM_F2_O-zAHL2XHEPZg/edit?usp=sharing"",""รวมเหนือ!J638"")+IMPORTRANGE(""https://docs.google.com/spreadsheets/d/1c0UfJUA6nE6esVMy0kRcX_PENtt96DMxicQpqi3tips/edit?usp=sharing"","""&amp;"รวมตะวันออกเฉียงเหนือ!J638"")+IMPORTRANGE(""https://docs.google.com/spreadsheets/d/1iNWbYmj0agxPDl_yJgGu1eIremFPVMUuMWUKAjBzvrk/edit?usp=sharing"",""รวมกลาง!J638"")+IMPORTRANGE(""https://docs.google.com/spreadsheets/d/1uenpWDAH2bchvfvsSIjpd4bRU5D1faxJOaE3"&amp;"4GQM5-c/edit?usp=sharing"",""รวมใต้!J638"")"),179)</f>
        <v>179</v>
      </c>
      <c r="K636" s="41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</row>
    <row r="637" spans="1:21" ht="18.75" x14ac:dyDescent="0.25">
      <c r="A637" s="152"/>
      <c r="B637" s="153"/>
      <c r="C637" s="153"/>
      <c r="D637" s="153"/>
      <c r="E637" s="163" t="s">
        <v>244</v>
      </c>
      <c r="F637" s="159"/>
      <c r="G637" s="157"/>
      <c r="H637" s="151" t="s">
        <v>46</v>
      </c>
      <c r="I637" s="40"/>
      <c r="J637" s="176">
        <f ca="1">IFERROR(__xludf.DUMMYFUNCTION("IMPORTRANGE(""https://docs.google.com/spreadsheets/d/12pGRKgvn2b31Uz_fjAl3XPzZUM_F2_O-zAHL2XHEPZg/edit?usp=sharing"",""รวมเหนือ!J639"")+IMPORTRANGE(""https://docs.google.com/spreadsheets/d/1c0UfJUA6nE6esVMy0kRcX_PENtt96DMxicQpqi3tips/edit?usp=sharing"","""&amp;"รวมตะวันออกเฉียงเหนือ!J639"")+IMPORTRANGE(""https://docs.google.com/spreadsheets/d/1iNWbYmj0agxPDl_yJgGu1eIremFPVMUuMWUKAjBzvrk/edit?usp=sharing"",""รวมกลาง!J639"")+IMPORTRANGE(""https://docs.google.com/spreadsheets/d/1uenpWDAH2bchvfvsSIjpd4bRU5D1faxJOaE3"&amp;"4GQM5-c/edit?usp=sharing"",""รวมใต้!J639"")"),177)</f>
        <v>177</v>
      </c>
      <c r="K637" s="41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</row>
    <row r="638" spans="1:21" ht="18.75" x14ac:dyDescent="0.25">
      <c r="A638" s="152"/>
      <c r="B638" s="153"/>
      <c r="C638" s="153"/>
      <c r="D638" s="153"/>
      <c r="E638" s="159"/>
      <c r="F638" s="163" t="s">
        <v>245</v>
      </c>
      <c r="G638" s="157"/>
      <c r="H638" s="151" t="s">
        <v>46</v>
      </c>
      <c r="I638" s="40"/>
      <c r="J638" s="176">
        <f ca="1">IFERROR(__xludf.DUMMYFUNCTION("IMPORTRANGE(""https://docs.google.com/spreadsheets/d/12pGRKgvn2b31Uz_fjAl3XPzZUM_F2_O-zAHL2XHEPZg/edit?usp=sharing"",""รวมเหนือ!J640"")+IMPORTRANGE(""https://docs.google.com/spreadsheets/d/1c0UfJUA6nE6esVMy0kRcX_PENtt96DMxicQpqi3tips/edit?usp=sharing"","""&amp;"รวมตะวันออกเฉียงเหนือ!J640"")+IMPORTRANGE(""https://docs.google.com/spreadsheets/d/1iNWbYmj0agxPDl_yJgGu1eIremFPVMUuMWUKAjBzvrk/edit?usp=sharing"",""รวมกลาง!J640"")+IMPORTRANGE(""https://docs.google.com/spreadsheets/d/1uenpWDAH2bchvfvsSIjpd4bRU5D1faxJOaE3"&amp;"4GQM5-c/edit?usp=sharing"",""รวมใต้!J640"")"),0)</f>
        <v>0</v>
      </c>
      <c r="K638" s="41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</row>
    <row r="639" spans="1:21" ht="19.5" x14ac:dyDescent="0.3">
      <c r="A639" s="439"/>
      <c r="B639" s="440" t="s">
        <v>246</v>
      </c>
      <c r="C639" s="441"/>
      <c r="D639" s="442"/>
      <c r="E639" s="442"/>
      <c r="F639" s="442"/>
      <c r="G639" s="443"/>
      <c r="H639" s="449"/>
      <c r="I639" s="450"/>
      <c r="J639" s="450"/>
      <c r="K639" s="447"/>
      <c r="L639" s="447"/>
      <c r="M639" s="447"/>
      <c r="N639" s="447"/>
      <c r="O639" s="447"/>
      <c r="P639" s="447"/>
      <c r="Q639" s="447"/>
      <c r="R639" s="447"/>
      <c r="S639" s="447"/>
      <c r="T639" s="447"/>
      <c r="U639" s="447"/>
    </row>
    <row r="640" spans="1:21" ht="19.5" x14ac:dyDescent="0.3">
      <c r="A640" s="142"/>
      <c r="B640" s="170"/>
      <c r="C640" s="143" t="s">
        <v>18</v>
      </c>
      <c r="D640" s="538" t="s">
        <v>19</v>
      </c>
      <c r="E640" s="535"/>
      <c r="F640" s="535"/>
      <c r="G640" s="536"/>
      <c r="H640" s="227" t="s">
        <v>14</v>
      </c>
      <c r="I640" s="40"/>
      <c r="J640" s="40"/>
      <c r="K640" s="41"/>
      <c r="L640" s="146">
        <f t="shared" ref="L640:N640" ca="1" si="429">L641+L642</f>
        <v>0</v>
      </c>
      <c r="M640" s="146">
        <f t="shared" ca="1" si="429"/>
        <v>0</v>
      </c>
      <c r="N640" s="146">
        <f t="shared" ca="1" si="429"/>
        <v>0</v>
      </c>
      <c r="O640" s="146">
        <f t="shared" ref="O640:O648" ca="1" si="430">IF(L640&gt;0,N640*100/L640,0)</f>
        <v>0</v>
      </c>
      <c r="P640" s="146">
        <f t="shared" ref="P640:P648" ca="1" si="431">IF(M640&gt;0,N640*100/M640,0)</f>
        <v>0</v>
      </c>
      <c r="Q640" s="146">
        <f t="shared" ref="Q640:S640" ca="1" si="432">Q641+Q642</f>
        <v>1085630</v>
      </c>
      <c r="R640" s="146">
        <f t="shared" ca="1" si="432"/>
        <v>1085630</v>
      </c>
      <c r="S640" s="146">
        <f t="shared" ca="1" si="432"/>
        <v>474124</v>
      </c>
      <c r="T640" s="146">
        <f t="shared" ref="T640:T648" ca="1" si="433">IF(Q640&gt;0,S640*100/Q640,0)</f>
        <v>43.67270617061061</v>
      </c>
      <c r="U640" s="146">
        <f t="shared" ref="U640:U648" ca="1" si="434">IF(R640&gt;0,S640*100/R640,0)</f>
        <v>43.67270617061061</v>
      </c>
    </row>
    <row r="641" spans="1:21" ht="18.75" x14ac:dyDescent="0.25">
      <c r="A641" s="142"/>
      <c r="B641" s="170"/>
      <c r="C641" s="170"/>
      <c r="D641" s="159"/>
      <c r="E641" s="43" t="s">
        <v>165</v>
      </c>
      <c r="F641" s="36"/>
      <c r="G641" s="38"/>
      <c r="H641" s="148" t="s">
        <v>14</v>
      </c>
      <c r="I641" s="40"/>
      <c r="J641" s="40"/>
      <c r="K641" s="41"/>
      <c r="L641" s="42">
        <f t="shared" ref="L641:N641" ca="1" si="435">L644+L647</f>
        <v>0</v>
      </c>
      <c r="M641" s="42">
        <f t="shared" ca="1" si="435"/>
        <v>0</v>
      </c>
      <c r="N641" s="42">
        <f t="shared" ca="1" si="435"/>
        <v>0</v>
      </c>
      <c r="O641" s="42">
        <f t="shared" ca="1" si="430"/>
        <v>0</v>
      </c>
      <c r="P641" s="42">
        <f t="shared" ca="1" si="431"/>
        <v>0</v>
      </c>
      <c r="Q641" s="42">
        <f ca="1">IFERROR(__xludf.DUMMYFUNCTION("IMPORTRANGE(""https://docs.google.com/spreadsheets/d/1ItG2mGa2ceCfYo0BwxsXqNm01IGEUdYcSSLTEv9YCik/edit?usp=sharing"",""เบิกจ่ายกองทุน!I11"")"),96770)</f>
        <v>96770</v>
      </c>
      <c r="R641" s="42">
        <f ca="1">IFERROR(__xludf.DUMMYFUNCTION("IMPORTRANGE(""https://docs.google.com/spreadsheets/d/1ItG2mGa2ceCfYo0BwxsXqNm01IGEUdYcSSLTEv9YCik/edit?usp=sharing"",""เบิกจ่ายกองทุน!J11"")"),96770)</f>
        <v>96770</v>
      </c>
      <c r="S641" s="42">
        <f ca="1">IFERROR(__xludf.DUMMYFUNCTION("IMPORTRANGE(""https://docs.google.com/spreadsheets/d/1ItG2mGa2ceCfYo0BwxsXqNm01IGEUdYcSSLTEv9YCik/edit?usp=sharing"",""เบิกจ่ายกองทุน!K11"")"),30500)</f>
        <v>30500</v>
      </c>
      <c r="T641" s="42">
        <f t="shared" ca="1" si="433"/>
        <v>31.518032448072749</v>
      </c>
      <c r="U641" s="42">
        <f t="shared" ca="1" si="434"/>
        <v>31.518032448072749</v>
      </c>
    </row>
    <row r="642" spans="1:21" ht="18.75" x14ac:dyDescent="0.25">
      <c r="A642" s="142"/>
      <c r="B642" s="170"/>
      <c r="C642" s="170"/>
      <c r="D642" s="159"/>
      <c r="E642" s="43" t="s">
        <v>166</v>
      </c>
      <c r="F642" s="36"/>
      <c r="G642" s="38"/>
      <c r="H642" s="148" t="s">
        <v>14</v>
      </c>
      <c r="I642" s="40"/>
      <c r="J642" s="40"/>
      <c r="K642" s="41"/>
      <c r="L642" s="42">
        <f t="shared" ref="L642:N642" ca="1" si="436">L645+L648</f>
        <v>0</v>
      </c>
      <c r="M642" s="42">
        <f t="shared" ca="1" si="436"/>
        <v>0</v>
      </c>
      <c r="N642" s="42">
        <f t="shared" ca="1" si="436"/>
        <v>0</v>
      </c>
      <c r="O642" s="42">
        <f t="shared" ca="1" si="430"/>
        <v>0</v>
      </c>
      <c r="P642" s="42">
        <f t="shared" ca="1" si="431"/>
        <v>0</v>
      </c>
      <c r="Q642" s="42">
        <f ca="1">IFERROR(__xludf.DUMMYFUNCTION("IMPORTRANGE(""https://docs.google.com/spreadsheets/d/12pGRKgvn2b31Uz_fjAl3XPzZUM_F2_O-zAHL2XHEPZg/edit?usp=sharing"",""รวมเหนือ!Q647"")+IMPORTRANGE(""https://docs.google.com/spreadsheets/d/1c0UfJUA6nE6esVMy0kRcX_PENtt96DMxicQpqi3tips/edit?usp=sharing"","""&amp;"รวมตะวันออกเฉียงเหนือ!Q647"")+IMPORTRANGE(""https://docs.google.com/spreadsheets/d/1iNWbYmj0agxPDl_yJgGu1eIremFPVMUuMWUKAjBzvrk/edit?usp=sharing"",""รวมกลาง!Q647"")+IMPORTRANGE(""https://docs.google.com/spreadsheets/d/1uenpWDAH2bchvfvsSIjpd4bRU5D1faxJOaE3"&amp;"4GQM5-c/edit?usp=sharing"",""รวมใต้!Q647"")"),988860)</f>
        <v>988860</v>
      </c>
      <c r="R642" s="42">
        <f ca="1">IFERROR(__xludf.DUMMYFUNCTION("IMPORTRANGE(""https://docs.google.com/spreadsheets/d/12pGRKgvn2b31Uz_fjAl3XPzZUM_F2_O-zAHL2XHEPZg/edit?usp=sharing"",""รวมเหนือ!R647"")+IMPORTRANGE(""https://docs.google.com/spreadsheets/d/1c0UfJUA6nE6esVMy0kRcX_PENtt96DMxicQpqi3tips/edit?usp=sharing"","""&amp;"รวมตะวันออกเฉียงเหนือ!R647"")+IMPORTRANGE(""https://docs.google.com/spreadsheets/d/1iNWbYmj0agxPDl_yJgGu1eIremFPVMUuMWUKAjBzvrk/edit?usp=sharing"",""รวมกลาง!R647"")+IMPORTRANGE(""https://docs.google.com/spreadsheets/d/1uenpWDAH2bchvfvsSIjpd4bRU5D1faxJOaE3"&amp;"4GQM5-c/edit?usp=sharing"",""รวมใต้!R647"")"),988860)</f>
        <v>988860</v>
      </c>
      <c r="S642" s="42">
        <f ca="1">IFERROR(__xludf.DUMMYFUNCTION("IMPORTRANGE(""https://docs.google.com/spreadsheets/d/12pGRKgvn2b31Uz_fjAl3XPzZUM_F2_O-zAHL2XHEPZg/edit?usp=sharing"",""รวมเหนือ!S647"")+IMPORTRANGE(""https://docs.google.com/spreadsheets/d/1c0UfJUA6nE6esVMy0kRcX_PENtt96DMxicQpqi3tips/edit?usp=sharing"","""&amp;"รวมตะวันออกเฉียงเหนือ!S647"")+IMPORTRANGE(""https://docs.google.com/spreadsheets/d/1iNWbYmj0agxPDl_yJgGu1eIremFPVMUuMWUKAjBzvrk/edit?usp=sharing"",""รวมกลาง!S647"")+IMPORTRANGE(""https://docs.google.com/spreadsheets/d/1uenpWDAH2bchvfvsSIjpd4bRU5D1faxJOaE3"&amp;"4GQM5-c/edit?usp=sharing"",""รวมใต้!S647"")"),443624)</f>
        <v>443624</v>
      </c>
      <c r="T642" s="42">
        <f t="shared" ca="1" si="433"/>
        <v>44.862164512671157</v>
      </c>
      <c r="U642" s="42">
        <f t="shared" ca="1" si="434"/>
        <v>44.862164512671157</v>
      </c>
    </row>
    <row r="643" spans="1:21" ht="18.75" x14ac:dyDescent="0.25">
      <c r="A643" s="142"/>
      <c r="B643" s="170"/>
      <c r="C643" s="170"/>
      <c r="D643" s="37" t="s">
        <v>22</v>
      </c>
      <c r="E643" s="36"/>
      <c r="F643" s="36"/>
      <c r="G643" s="38"/>
      <c r="H643" s="148" t="s">
        <v>14</v>
      </c>
      <c r="I643" s="149"/>
      <c r="J643" s="149"/>
      <c r="K643" s="150"/>
      <c r="L643" s="42">
        <f t="shared" ref="L643:N643" ca="1" si="437">L644+L645</f>
        <v>0</v>
      </c>
      <c r="M643" s="42">
        <f t="shared" ca="1" si="437"/>
        <v>0</v>
      </c>
      <c r="N643" s="42">
        <f t="shared" ca="1" si="437"/>
        <v>0</v>
      </c>
      <c r="O643" s="42">
        <f t="shared" ca="1" si="430"/>
        <v>0</v>
      </c>
      <c r="P643" s="42">
        <f t="shared" ca="1" si="431"/>
        <v>0</v>
      </c>
      <c r="Q643" s="42">
        <f t="shared" ref="Q643:S643" si="438">Q644+Q645</f>
        <v>0</v>
      </c>
      <c r="R643" s="42">
        <f t="shared" si="438"/>
        <v>0</v>
      </c>
      <c r="S643" s="42">
        <f t="shared" si="438"/>
        <v>0</v>
      </c>
      <c r="T643" s="42">
        <f t="shared" si="433"/>
        <v>0</v>
      </c>
      <c r="U643" s="42">
        <f t="shared" si="434"/>
        <v>0</v>
      </c>
    </row>
    <row r="644" spans="1:21" ht="18.75" x14ac:dyDescent="0.25">
      <c r="A644" s="142"/>
      <c r="B644" s="170"/>
      <c r="C644" s="170"/>
      <c r="D644" s="159"/>
      <c r="E644" s="43" t="s">
        <v>165</v>
      </c>
      <c r="F644" s="36"/>
      <c r="G644" s="38"/>
      <c r="H644" s="148" t="s">
        <v>14</v>
      </c>
      <c r="I644" s="40"/>
      <c r="J644" s="40"/>
      <c r="K644" s="41"/>
      <c r="L644" s="42">
        <f ca="1">IFERROR(__xludf.DUMMYFUNCTION("IMPORTRANGE(""https://docs.google.com/spreadsheets/d/12pGRKgvn2b31Uz_fjAl3XPzZUM_F2_O-zAHL2XHEPZg/edit?usp=sharing"",""รวมเหนือ!L646"")+IMPORTRANGE(""https://docs.google.com/spreadsheets/d/1c0UfJUA6nE6esVMy0kRcX_PENtt96DMxicQpqi3tips/edit?usp=sharing"","""&amp;"รวมตะวันออกเฉียงเหนือ!L646"")+IMPORTRANGE(""https://docs.google.com/spreadsheets/d/1iNWbYmj0agxPDl_yJgGu1eIremFPVMUuMWUKAjBzvrk/edit?usp=sharing"",""รวมกลาง!L646"")+IMPORTRANGE(""https://docs.google.com/spreadsheets/d/1uenpWDAH2bchvfvsSIjpd4bRU5D1faxJOaE3"&amp;"4GQM5-c/edit?usp=sharing"",""รวมใต้!L646"")"),0)</f>
        <v>0</v>
      </c>
      <c r="M644" s="42">
        <f ca="1">IFERROR(__xludf.DUMMYFUNCTION("IMPORTRANGE(""https://docs.google.com/spreadsheets/d/12pGRKgvn2b31Uz_fjAl3XPzZUM_F2_O-zAHL2XHEPZg/edit?usp=sharing"",""รวมเหนือ!M646"")+IMPORTRANGE(""https://docs.google.com/spreadsheets/d/1c0UfJUA6nE6esVMy0kRcX_PENtt96DMxicQpqi3tips/edit?usp=sharing"","""&amp;"รวมตะวันออกเฉียงเหนือ!M646"")+IMPORTRANGE(""https://docs.google.com/spreadsheets/d/1iNWbYmj0agxPDl_yJgGu1eIremFPVMUuMWUKAjBzvrk/edit?usp=sharing"",""รวมกลาง!M646"")+IMPORTRANGE(""https://docs.google.com/spreadsheets/d/1uenpWDAH2bchvfvsSIjpd4bRU5D1faxJOaE3"&amp;"4GQM5-c/edit?usp=sharing"",""รวมใต้!M646"")"),0)</f>
        <v>0</v>
      </c>
      <c r="N644" s="42">
        <f ca="1">IFERROR(__xludf.DUMMYFUNCTION("IMPORTRANGE(""https://docs.google.com/spreadsheets/d/12pGRKgvn2b31Uz_fjAl3XPzZUM_F2_O-zAHL2XHEPZg/edit?usp=sharing"",""รวมเหนือ!N646"")+IMPORTRANGE(""https://docs.google.com/spreadsheets/d/1c0UfJUA6nE6esVMy0kRcX_PENtt96DMxicQpqi3tips/edit?usp=sharing"","""&amp;"รวมตะวันออกเฉียงเหนือ!N646"")+IMPORTRANGE(""https://docs.google.com/spreadsheets/d/1iNWbYmj0agxPDl_yJgGu1eIremFPVMUuMWUKAjBzvrk/edit?usp=sharing"",""รวมกลาง!N646"")+IMPORTRANGE(""https://docs.google.com/spreadsheets/d/1uenpWDAH2bchvfvsSIjpd4bRU5D1faxJOaE3"&amp;"4GQM5-c/edit?usp=sharing"",""รวมใต้!N646"")"),0)</f>
        <v>0</v>
      </c>
      <c r="O644" s="42">
        <f t="shared" ca="1" si="430"/>
        <v>0</v>
      </c>
      <c r="P644" s="42">
        <f t="shared" ca="1" si="431"/>
        <v>0</v>
      </c>
      <c r="Q644" s="42">
        <v>0</v>
      </c>
      <c r="R644" s="42">
        <v>0</v>
      </c>
      <c r="S644" s="42">
        <v>0</v>
      </c>
      <c r="T644" s="42">
        <f t="shared" si="433"/>
        <v>0</v>
      </c>
      <c r="U644" s="42">
        <f t="shared" si="434"/>
        <v>0</v>
      </c>
    </row>
    <row r="645" spans="1:21" ht="18.75" x14ac:dyDescent="0.25">
      <c r="A645" s="142"/>
      <c r="B645" s="170"/>
      <c r="C645" s="170"/>
      <c r="D645" s="159"/>
      <c r="E645" s="43" t="s">
        <v>166</v>
      </c>
      <c r="F645" s="36"/>
      <c r="G645" s="38"/>
      <c r="H645" s="148" t="s">
        <v>14</v>
      </c>
      <c r="I645" s="40"/>
      <c r="J645" s="40"/>
      <c r="K645" s="41"/>
      <c r="L645" s="42">
        <f ca="1">IFERROR(__xludf.DUMMYFUNCTION("IMPORTRANGE(""https://docs.google.com/spreadsheets/d/12pGRKgvn2b31Uz_fjAl3XPzZUM_F2_O-zAHL2XHEPZg/edit?usp=sharing"",""รวมเหนือ!L647"")+IMPORTRANGE(""https://docs.google.com/spreadsheets/d/1c0UfJUA6nE6esVMy0kRcX_PENtt96DMxicQpqi3tips/edit?usp=sharing"","""&amp;"รวมตะวันออกเฉียงเหนือ!L647"")+IMPORTRANGE(""https://docs.google.com/spreadsheets/d/1iNWbYmj0agxPDl_yJgGu1eIremFPVMUuMWUKAjBzvrk/edit?usp=sharing"",""รวมกลาง!L647"")+IMPORTRANGE(""https://docs.google.com/spreadsheets/d/1uenpWDAH2bchvfvsSIjpd4bRU5D1faxJOaE3"&amp;"4GQM5-c/edit?usp=sharing"",""รวมใต้!L647"")"),0)</f>
        <v>0</v>
      </c>
      <c r="M645" s="42">
        <f ca="1">IFERROR(__xludf.DUMMYFUNCTION("IMPORTRANGE(""https://docs.google.com/spreadsheets/d/12pGRKgvn2b31Uz_fjAl3XPzZUM_F2_O-zAHL2XHEPZg/edit?usp=sharing"",""รวมเหนือ!M647"")+IMPORTRANGE(""https://docs.google.com/spreadsheets/d/1c0UfJUA6nE6esVMy0kRcX_PENtt96DMxicQpqi3tips/edit?usp=sharing"","""&amp;"รวมตะวันออกเฉียงเหนือ!M647"")+IMPORTRANGE(""https://docs.google.com/spreadsheets/d/1iNWbYmj0agxPDl_yJgGu1eIremFPVMUuMWUKAjBzvrk/edit?usp=sharing"",""รวมกลาง!M647"")+IMPORTRANGE(""https://docs.google.com/spreadsheets/d/1uenpWDAH2bchvfvsSIjpd4bRU5D1faxJOaE3"&amp;"4GQM5-c/edit?usp=sharing"",""รวมใต้!M647"")"),0)</f>
        <v>0</v>
      </c>
      <c r="N645" s="42">
        <f ca="1">IFERROR(__xludf.DUMMYFUNCTION("IMPORTRANGE(""https://docs.google.com/spreadsheets/d/12pGRKgvn2b31Uz_fjAl3XPzZUM_F2_O-zAHL2XHEPZg/edit?usp=sharing"",""รวมเหนือ!N647"")+IMPORTRANGE(""https://docs.google.com/spreadsheets/d/1c0UfJUA6nE6esVMy0kRcX_PENtt96DMxicQpqi3tips/edit?usp=sharing"","""&amp;"รวมตะวันออกเฉียงเหนือ!N647"")+IMPORTRANGE(""https://docs.google.com/spreadsheets/d/1iNWbYmj0agxPDl_yJgGu1eIremFPVMUuMWUKAjBzvrk/edit?usp=sharing"",""รวมกลาง!N647"")+IMPORTRANGE(""https://docs.google.com/spreadsheets/d/1uenpWDAH2bchvfvsSIjpd4bRU5D1faxJOaE3"&amp;"4GQM5-c/edit?usp=sharing"",""รวมใต้!N647"")"),0)</f>
        <v>0</v>
      </c>
      <c r="O645" s="42">
        <f t="shared" ca="1" si="430"/>
        <v>0</v>
      </c>
      <c r="P645" s="42">
        <f t="shared" ca="1" si="431"/>
        <v>0</v>
      </c>
      <c r="Q645" s="42">
        <v>0</v>
      </c>
      <c r="R645" s="42">
        <v>0</v>
      </c>
      <c r="S645" s="42">
        <v>0</v>
      </c>
      <c r="T645" s="42">
        <f t="shared" si="433"/>
        <v>0</v>
      </c>
      <c r="U645" s="42">
        <f t="shared" si="434"/>
        <v>0</v>
      </c>
    </row>
    <row r="646" spans="1:21" ht="18.75" x14ac:dyDescent="0.25">
      <c r="A646" s="142"/>
      <c r="B646" s="170"/>
      <c r="C646" s="170"/>
      <c r="D646" s="37" t="s">
        <v>23</v>
      </c>
      <c r="E646" s="36"/>
      <c r="F646" s="36"/>
      <c r="G646" s="38"/>
      <c r="H646" s="151" t="s">
        <v>14</v>
      </c>
      <c r="I646" s="149"/>
      <c r="J646" s="149"/>
      <c r="K646" s="150"/>
      <c r="L646" s="42">
        <f t="shared" ref="L646:N646" ca="1" si="439">L647+L648</f>
        <v>0</v>
      </c>
      <c r="M646" s="42">
        <f t="shared" ca="1" si="439"/>
        <v>0</v>
      </c>
      <c r="N646" s="42">
        <f t="shared" ca="1" si="439"/>
        <v>0</v>
      </c>
      <c r="O646" s="42">
        <f t="shared" ca="1" si="430"/>
        <v>0</v>
      </c>
      <c r="P646" s="42">
        <f t="shared" ca="1" si="431"/>
        <v>0</v>
      </c>
      <c r="Q646" s="42">
        <f t="shared" ref="Q646:S646" ca="1" si="440">Q647+Q648</f>
        <v>0</v>
      </c>
      <c r="R646" s="42">
        <f t="shared" ca="1" si="440"/>
        <v>0</v>
      </c>
      <c r="S646" s="42">
        <f t="shared" ca="1" si="440"/>
        <v>0</v>
      </c>
      <c r="T646" s="42">
        <f t="shared" ca="1" si="433"/>
        <v>0</v>
      </c>
      <c r="U646" s="42">
        <f t="shared" ca="1" si="434"/>
        <v>0</v>
      </c>
    </row>
    <row r="647" spans="1:21" ht="18.75" x14ac:dyDescent="0.25">
      <c r="A647" s="142"/>
      <c r="B647" s="170"/>
      <c r="C647" s="170"/>
      <c r="D647" s="36"/>
      <c r="E647" s="43" t="s">
        <v>20</v>
      </c>
      <c r="F647" s="36"/>
      <c r="G647" s="38"/>
      <c r="H647" s="148" t="s">
        <v>14</v>
      </c>
      <c r="I647" s="149"/>
      <c r="J647" s="149"/>
      <c r="K647" s="150"/>
      <c r="L647" s="42">
        <f ca="1">IFERROR(__xludf.DUMMYFUNCTION("IMPORTRANGE(""https://docs.google.com/spreadsheets/d/12pGRKgvn2b31Uz_fjAl3XPzZUM_F2_O-zAHL2XHEPZg/edit?usp=sharing"",""รวมเหนือ!L649"")+IMPORTRANGE(""https://docs.google.com/spreadsheets/d/1c0UfJUA6nE6esVMy0kRcX_PENtt96DMxicQpqi3tips/edit?usp=sharing"","""&amp;"รวมตะวันออกเฉียงเหนือ!L649"")+IMPORTRANGE(""https://docs.google.com/spreadsheets/d/1iNWbYmj0agxPDl_yJgGu1eIremFPVMUuMWUKAjBzvrk/edit?usp=sharing"",""รวมกลาง!L649"")+IMPORTRANGE(""https://docs.google.com/spreadsheets/d/1uenpWDAH2bchvfvsSIjpd4bRU5D1faxJOaE3"&amp;"4GQM5-c/edit?usp=sharing"",""รวมใต้!L649"")"),0)</f>
        <v>0</v>
      </c>
      <c r="M647" s="42">
        <f ca="1">IFERROR(__xludf.DUMMYFUNCTION("IMPORTRANGE(""https://docs.google.com/spreadsheets/d/12pGRKgvn2b31Uz_fjAl3XPzZUM_F2_O-zAHL2XHEPZg/edit?usp=sharing"",""รวมเหนือ!M649"")+IMPORTRANGE(""https://docs.google.com/spreadsheets/d/1c0UfJUA6nE6esVMy0kRcX_PENtt96DMxicQpqi3tips/edit?usp=sharing"","""&amp;"รวมตะวันออกเฉียงเหนือ!M649"")+IMPORTRANGE(""https://docs.google.com/spreadsheets/d/1iNWbYmj0agxPDl_yJgGu1eIremFPVMUuMWUKAjBzvrk/edit?usp=sharing"",""รวมกลาง!M649"")+IMPORTRANGE(""https://docs.google.com/spreadsheets/d/1uenpWDAH2bchvfvsSIjpd4bRU5D1faxJOaE3"&amp;"4GQM5-c/edit?usp=sharing"",""รวมใต้!M649"")"),0)</f>
        <v>0</v>
      </c>
      <c r="N647" s="42">
        <f ca="1">IFERROR(__xludf.DUMMYFUNCTION("IMPORTRANGE(""https://docs.google.com/spreadsheets/d/12pGRKgvn2b31Uz_fjAl3XPzZUM_F2_O-zAHL2XHEPZg/edit?usp=sharing"",""รวมเหนือ!N649"")+IMPORTRANGE(""https://docs.google.com/spreadsheets/d/1c0UfJUA6nE6esVMy0kRcX_PENtt96DMxicQpqi3tips/edit?usp=sharing"","""&amp;"รวมตะวันออกเฉียงเหนือ!N649"")+IMPORTRANGE(""https://docs.google.com/spreadsheets/d/1iNWbYmj0agxPDl_yJgGu1eIremFPVMUuMWUKAjBzvrk/edit?usp=sharing"",""รวมกลาง!N649"")+IMPORTRANGE(""https://docs.google.com/spreadsheets/d/1uenpWDAH2bchvfvsSIjpd4bRU5D1faxJOaE3"&amp;"4GQM5-c/edit?usp=sharing"",""รวมใต้!N649"")"),0)</f>
        <v>0</v>
      </c>
      <c r="O647" s="42">
        <f t="shared" ca="1" si="430"/>
        <v>0</v>
      </c>
      <c r="P647" s="42">
        <f t="shared" ca="1" si="431"/>
        <v>0</v>
      </c>
      <c r="Q647" s="42">
        <v>0</v>
      </c>
      <c r="R647" s="42">
        <v>0</v>
      </c>
      <c r="S647" s="42">
        <v>0</v>
      </c>
      <c r="T647" s="42">
        <f t="shared" si="433"/>
        <v>0</v>
      </c>
      <c r="U647" s="42">
        <f t="shared" si="434"/>
        <v>0</v>
      </c>
    </row>
    <row r="648" spans="1:21" ht="18.75" x14ac:dyDescent="0.25">
      <c r="A648" s="142"/>
      <c r="B648" s="170"/>
      <c r="C648" s="170"/>
      <c r="D648" s="36"/>
      <c r="E648" s="43" t="s">
        <v>21</v>
      </c>
      <c r="F648" s="36"/>
      <c r="G648" s="38"/>
      <c r="H648" s="151" t="s">
        <v>14</v>
      </c>
      <c r="I648" s="149"/>
      <c r="J648" s="149"/>
      <c r="K648" s="150"/>
      <c r="L648" s="42">
        <f ca="1">IFERROR(__xludf.DUMMYFUNCTION("IMPORTRANGE(""https://docs.google.com/spreadsheets/d/12pGRKgvn2b31Uz_fjAl3XPzZUM_F2_O-zAHL2XHEPZg/edit?usp=sharing"",""รวมเหนือ!L650"")+IMPORTRANGE(""https://docs.google.com/spreadsheets/d/1c0UfJUA6nE6esVMy0kRcX_PENtt96DMxicQpqi3tips/edit?usp=sharing"","""&amp;"รวมตะวันออกเฉียงเหนือ!L650"")+IMPORTRANGE(""https://docs.google.com/spreadsheets/d/1iNWbYmj0agxPDl_yJgGu1eIremFPVMUuMWUKAjBzvrk/edit?usp=sharing"",""รวมกลาง!L650"")+IMPORTRANGE(""https://docs.google.com/spreadsheets/d/1uenpWDAH2bchvfvsSIjpd4bRU5D1faxJOaE3"&amp;"4GQM5-c/edit?usp=sharing"",""รวมใต้!L650"")"),0)</f>
        <v>0</v>
      </c>
      <c r="M648" s="42">
        <f ca="1">IFERROR(__xludf.DUMMYFUNCTION("IMPORTRANGE(""https://docs.google.com/spreadsheets/d/12pGRKgvn2b31Uz_fjAl3XPzZUM_F2_O-zAHL2XHEPZg/edit?usp=sharing"",""รวมเหนือ!M650"")+IMPORTRANGE(""https://docs.google.com/spreadsheets/d/1c0UfJUA6nE6esVMy0kRcX_PENtt96DMxicQpqi3tips/edit?usp=sharing"","""&amp;"รวมตะวันออกเฉียงเหนือ!M650"")+IMPORTRANGE(""https://docs.google.com/spreadsheets/d/1iNWbYmj0agxPDl_yJgGu1eIremFPVMUuMWUKAjBzvrk/edit?usp=sharing"",""รวมกลาง!M650"")+IMPORTRANGE(""https://docs.google.com/spreadsheets/d/1uenpWDAH2bchvfvsSIjpd4bRU5D1faxJOaE3"&amp;"4GQM5-c/edit?usp=sharing"",""รวมใต้!M650"")"),0)</f>
        <v>0</v>
      </c>
      <c r="N648" s="42">
        <f ca="1">IFERROR(__xludf.DUMMYFUNCTION("IMPORTRANGE(""https://docs.google.com/spreadsheets/d/12pGRKgvn2b31Uz_fjAl3XPzZUM_F2_O-zAHL2XHEPZg/edit?usp=sharing"",""รวมเหนือ!N650"")+IMPORTRANGE(""https://docs.google.com/spreadsheets/d/1c0UfJUA6nE6esVMy0kRcX_PENtt96DMxicQpqi3tips/edit?usp=sharing"","""&amp;"รวมตะวันออกเฉียงเหนือ!N650"")+IMPORTRANGE(""https://docs.google.com/spreadsheets/d/1iNWbYmj0agxPDl_yJgGu1eIremFPVMUuMWUKAjBzvrk/edit?usp=sharing"",""รวมกลาง!N650"")+IMPORTRANGE(""https://docs.google.com/spreadsheets/d/1uenpWDAH2bchvfvsSIjpd4bRU5D1faxJOaE3"&amp;"4GQM5-c/edit?usp=sharing"",""รวมใต้!N650"")"),0)</f>
        <v>0</v>
      </c>
      <c r="O648" s="42">
        <f t="shared" ca="1" si="430"/>
        <v>0</v>
      </c>
      <c r="P648" s="42">
        <f t="shared" ca="1" si="431"/>
        <v>0</v>
      </c>
      <c r="Q648" s="42">
        <f ca="1">IFERROR(__xludf.DUMMYFUNCTION("IMPORTRANGE(""https://docs.google.com/spreadsheets/d/12pGRKgvn2b31Uz_fjAl3XPzZUM_F2_O-zAHL2XHEPZg/edit?usp=sharing"",""รวมเหนือ!Q650"")+IMPORTRANGE(""https://docs.google.com/spreadsheets/d/1c0UfJUA6nE6esVMy0kRcX_PENtt96DMxicQpqi3tips/edit?usp=sharing"","""&amp;"รวมตะวันออกเฉียงเหนือ!Q650"")+IMPORTRANGE(""https://docs.google.com/spreadsheets/d/1iNWbYmj0agxPDl_yJgGu1eIremFPVMUuMWUKAjBzvrk/edit?usp=sharing"",""รวมกลาง!Q650"")+IMPORTRANGE(""https://docs.google.com/spreadsheets/d/1uenpWDAH2bchvfvsSIjpd4bRU5D1faxJOaE3"&amp;"4GQM5-c/edit?usp=sharing"",""รวมใต้!Q650"")"),0)</f>
        <v>0</v>
      </c>
      <c r="R648" s="42">
        <f ca="1">IFERROR(__xludf.DUMMYFUNCTION("IMPORTRANGE(""https://docs.google.com/spreadsheets/d/12pGRKgvn2b31Uz_fjAl3XPzZUM_F2_O-zAHL2XHEPZg/edit?usp=sharing"",""รวมเหนือ!R650"")+IMPORTRANGE(""https://docs.google.com/spreadsheets/d/1c0UfJUA6nE6esVMy0kRcX_PENtt96DMxicQpqi3tips/edit?usp=sharing"","""&amp;"รวมตะวันออกเฉียงเหนือ!R650"")+IMPORTRANGE(""https://docs.google.com/spreadsheets/d/1iNWbYmj0agxPDl_yJgGu1eIremFPVMUuMWUKAjBzvrk/edit?usp=sharing"",""รวมกลาง!R650"")+IMPORTRANGE(""https://docs.google.com/spreadsheets/d/1uenpWDAH2bchvfvsSIjpd4bRU5D1faxJOaE3"&amp;"4GQM5-c/edit?usp=sharing"",""รวมใต้!R650"")"),0)</f>
        <v>0</v>
      </c>
      <c r="S648" s="42">
        <f ca="1">IFERROR(__xludf.DUMMYFUNCTION("IMPORTRANGE(""https://docs.google.com/spreadsheets/d/12pGRKgvn2b31Uz_fjAl3XPzZUM_F2_O-zAHL2XHEPZg/edit?usp=sharing"",""รวมเหนือ!S650"")+IMPORTRANGE(""https://docs.google.com/spreadsheets/d/1c0UfJUA6nE6esVMy0kRcX_PENtt96DMxicQpqi3tips/edit?usp=sharing"","""&amp;"รวมตะวันออกเฉียงเหนือ!S650"")+IMPORTRANGE(""https://docs.google.com/spreadsheets/d/1iNWbYmj0agxPDl_yJgGu1eIremFPVMUuMWUKAjBzvrk/edit?usp=sharing"",""รวมกลาง!S650"")+IMPORTRANGE(""https://docs.google.com/spreadsheets/d/1uenpWDAH2bchvfvsSIjpd4bRU5D1faxJOaE3"&amp;"4GQM5-c/edit?usp=sharing"",""รวมใต้!S650"")"),0)</f>
        <v>0</v>
      </c>
      <c r="T648" s="42">
        <f t="shared" ca="1" si="433"/>
        <v>0</v>
      </c>
      <c r="U648" s="42">
        <f t="shared" ca="1" si="434"/>
        <v>0</v>
      </c>
    </row>
    <row r="649" spans="1:21" ht="19.5" x14ac:dyDescent="0.3">
      <c r="A649" s="152"/>
      <c r="B649" s="153"/>
      <c r="C649" s="143" t="s">
        <v>18</v>
      </c>
      <c r="D649" s="451" t="s">
        <v>38</v>
      </c>
      <c r="E649" s="155"/>
      <c r="F649" s="155"/>
      <c r="G649" s="156"/>
      <c r="H649" s="185"/>
      <c r="I649" s="149"/>
      <c r="J649" s="149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</row>
    <row r="650" spans="1:21" ht="18.75" x14ac:dyDescent="0.25">
      <c r="A650" s="213"/>
      <c r="B650" s="170"/>
      <c r="C650" s="170"/>
      <c r="D650" s="43" t="s">
        <v>247</v>
      </c>
      <c r="E650" s="36"/>
      <c r="F650" s="36"/>
      <c r="G650" s="38"/>
      <c r="H650" s="151" t="s">
        <v>46</v>
      </c>
      <c r="I650" s="452">
        <f ca="1">IFERROR(__xludf.DUMMYFUNCTION("IMPORTRANGE(""https://docs.google.com/spreadsheets/d/12pGRKgvn2b31Uz_fjAl3XPzZUM_F2_O-zAHL2XHEPZg/edit?usp=sharing"",""รวมเหนือ!I652"")+IMPORTRANGE(""https://docs.google.com/spreadsheets/d/1c0UfJUA6nE6esVMy0kRcX_PENtt96DMxicQpqi3tips/edit?usp=sharing"","""&amp;"รวมตะวันออกเฉียงเหนือ!I652"")+IMPORTRANGE(""https://docs.google.com/spreadsheets/d/1iNWbYmj0agxPDl_yJgGu1eIremFPVMUuMWUKAjBzvrk/edit?usp=sharing"",""รวมกลาง!I652"")+IMPORTRANGE(""https://docs.google.com/spreadsheets/d/1uenpWDAH2bchvfvsSIjpd4bRU5D1faxJOaE3"&amp;"4GQM5-c/edit?usp=sharing"",""รวมใต้!I652"")"),481)</f>
        <v>481</v>
      </c>
      <c r="J650" s="452">
        <f ca="1">IFERROR(__xludf.DUMMYFUNCTION("IMPORTRANGE(""https://docs.google.com/spreadsheets/d/12pGRKgvn2b31Uz_fjAl3XPzZUM_F2_O-zAHL2XHEPZg/edit?usp=sharing"",""รวมเหนือ!J652"")+IMPORTRANGE(""https://docs.google.com/spreadsheets/d/1c0UfJUA6nE6esVMy0kRcX_PENtt96DMxicQpqi3tips/edit?usp=sharing"","""&amp;"รวมตะวันออกเฉียงเหนือ!J652"")+IMPORTRANGE(""https://docs.google.com/spreadsheets/d/1iNWbYmj0agxPDl_yJgGu1eIremFPVMUuMWUKAjBzvrk/edit?usp=sharing"",""รวมกลาง!J652"")+IMPORTRANGE(""https://docs.google.com/spreadsheets/d/1uenpWDAH2bchvfvsSIjpd4bRU5D1faxJOaE3"&amp;"4GQM5-c/edit?usp=sharing"",""รวมใต้!J652"")"),1506.26)</f>
        <v>1506.26</v>
      </c>
      <c r="K650" s="42">
        <f t="shared" ref="K650:K652" ca="1" si="441">IF(I650&gt;0,J650*100/I650,0)</f>
        <v>313.15176715176716</v>
      </c>
      <c r="L650" s="41"/>
      <c r="M650" s="41"/>
      <c r="N650" s="453"/>
      <c r="O650" s="41"/>
      <c r="P650" s="41"/>
      <c r="Q650" s="41"/>
      <c r="R650" s="41"/>
      <c r="S650" s="453"/>
      <c r="T650" s="41"/>
      <c r="U650" s="41"/>
    </row>
    <row r="651" spans="1:21" ht="18.75" x14ac:dyDescent="0.25">
      <c r="A651" s="213"/>
      <c r="B651" s="170"/>
      <c r="C651" s="170"/>
      <c r="D651" s="43" t="s">
        <v>248</v>
      </c>
      <c r="E651" s="36"/>
      <c r="F651" s="36"/>
      <c r="G651" s="38"/>
      <c r="H651" s="151" t="s">
        <v>35</v>
      </c>
      <c r="I651" s="452">
        <f ca="1">IFERROR(__xludf.DUMMYFUNCTION("IMPORTRANGE(""https://docs.google.com/spreadsheets/d/12pGRKgvn2b31Uz_fjAl3XPzZUM_F2_O-zAHL2XHEPZg/edit?usp=sharing"",""รวมเหนือ!I653"")+IMPORTRANGE(""https://docs.google.com/spreadsheets/d/1c0UfJUA6nE6esVMy0kRcX_PENtt96DMxicQpqi3tips/edit?usp=sharing"","""&amp;"รวมตะวันออกเฉียงเหนือ!I653"")+IMPORTRANGE(""https://docs.google.com/spreadsheets/d/1iNWbYmj0agxPDl_yJgGu1eIremFPVMUuMWUKAjBzvrk/edit?usp=sharing"",""รวมกลาง!I653"")+IMPORTRANGE(""https://docs.google.com/spreadsheets/d/1uenpWDAH2bchvfvsSIjpd4bRU5D1faxJOaE3"&amp;"4GQM5-c/edit?usp=sharing"",""รวมใต้!I653"")"),339)</f>
        <v>339</v>
      </c>
      <c r="J651" s="452">
        <f ca="1">IFERROR(__xludf.DUMMYFUNCTION("IMPORTRANGE(""https://docs.google.com/spreadsheets/d/12pGRKgvn2b31Uz_fjAl3XPzZUM_F2_O-zAHL2XHEPZg/edit?usp=sharing"",""รวมเหนือ!J653"")+IMPORTRANGE(""https://docs.google.com/spreadsheets/d/1c0UfJUA6nE6esVMy0kRcX_PENtt96DMxicQpqi3tips/edit?usp=sharing"","""&amp;"รวมตะวันออกเฉียงเหนือ!J653"")+IMPORTRANGE(""https://docs.google.com/spreadsheets/d/1iNWbYmj0agxPDl_yJgGu1eIremFPVMUuMWUKAjBzvrk/edit?usp=sharing"",""รวมกลาง!J653"")+IMPORTRANGE(""https://docs.google.com/spreadsheets/d/1uenpWDAH2bchvfvsSIjpd4bRU5D1faxJOaE3"&amp;"4GQM5-c/edit?usp=sharing"",""รวมใต้!J653"")"),206)</f>
        <v>206</v>
      </c>
      <c r="K651" s="42">
        <f t="shared" ca="1" si="441"/>
        <v>60.766961651917406</v>
      </c>
      <c r="L651" s="41"/>
      <c r="M651" s="41"/>
      <c r="N651" s="453"/>
      <c r="O651" s="41"/>
      <c r="P651" s="41"/>
      <c r="Q651" s="41"/>
      <c r="R651" s="41"/>
      <c r="S651" s="453"/>
      <c r="T651" s="41"/>
      <c r="U651" s="41"/>
    </row>
    <row r="652" spans="1:21" ht="19.5" x14ac:dyDescent="0.3">
      <c r="A652" s="213"/>
      <c r="B652" s="170"/>
      <c r="C652" s="170"/>
      <c r="D652" s="43" t="s">
        <v>249</v>
      </c>
      <c r="E652" s="36"/>
      <c r="F652" s="36"/>
      <c r="G652" s="38"/>
      <c r="H652" s="414" t="s">
        <v>46</v>
      </c>
      <c r="I652" s="454">
        <f ca="1">IFERROR(__xludf.DUMMYFUNCTION("IMPORTRANGE(""https://docs.google.com/spreadsheets/d/12pGRKgvn2b31Uz_fjAl3XPzZUM_F2_O-zAHL2XHEPZg/edit?usp=sharing"",""รวมเหนือ!I654"")+IMPORTRANGE(""https://docs.google.com/spreadsheets/d/1c0UfJUA6nE6esVMy0kRcX_PENtt96DMxicQpqi3tips/edit?usp=sharing"","""&amp;"รวมตะวันออกเฉียงเหนือ!I654"")+IMPORTRANGE(""https://docs.google.com/spreadsheets/d/1iNWbYmj0agxPDl_yJgGu1eIremFPVMUuMWUKAjBzvrk/edit?usp=sharing"",""รวมกลาง!I654"")+IMPORTRANGE(""https://docs.google.com/spreadsheets/d/1uenpWDAH2bchvfvsSIjpd4bRU5D1faxJOaE3"&amp;"4GQM5-c/edit?usp=sharing"",""รวมใต้!I654"")"),3686)</f>
        <v>3686</v>
      </c>
      <c r="J652" s="161">
        <f ca="1">J655+J658</f>
        <v>4284.38</v>
      </c>
      <c r="K652" s="146">
        <f t="shared" ca="1" si="441"/>
        <v>116.23385784047748</v>
      </c>
      <c r="L652" s="41"/>
      <c r="M652" s="41"/>
      <c r="N652" s="453"/>
      <c r="O652" s="41"/>
      <c r="P652" s="41"/>
      <c r="Q652" s="41"/>
      <c r="R652" s="41"/>
      <c r="S652" s="453"/>
      <c r="T652" s="41"/>
      <c r="U652" s="41"/>
    </row>
    <row r="653" spans="1:21" ht="18.75" x14ac:dyDescent="0.25">
      <c r="A653" s="213"/>
      <c r="B653" s="170"/>
      <c r="C653" s="170"/>
      <c r="D653" s="36"/>
      <c r="E653" s="43" t="s">
        <v>250</v>
      </c>
      <c r="F653" s="36"/>
      <c r="G653" s="38"/>
      <c r="H653" s="151" t="s">
        <v>35</v>
      </c>
      <c r="I653" s="186"/>
      <c r="J653" s="176">
        <f ca="1">IFERROR(__xludf.DUMMYFUNCTION("IMPORTRANGE(""https://docs.google.com/spreadsheets/d/12pGRKgvn2b31Uz_fjAl3XPzZUM_F2_O-zAHL2XHEPZg/edit?usp=sharing"",""รวมเหนือ!J655"")+IMPORTRANGE(""https://docs.google.com/spreadsheets/d/1c0UfJUA6nE6esVMy0kRcX_PENtt96DMxicQpqi3tips/edit?usp=sharing"","""&amp;"รวมตะวันออกเฉียงเหนือ!J655"")+IMPORTRANGE(""https://docs.google.com/spreadsheets/d/1iNWbYmj0agxPDl_yJgGu1eIremFPVMUuMWUKAjBzvrk/edit?usp=sharing"",""รวมกลาง!J655"")+IMPORTRANGE(""https://docs.google.com/spreadsheets/d/1uenpWDAH2bchvfvsSIjpd4bRU5D1faxJOaE3"&amp;"4GQM5-c/edit?usp=sharing"",""รวมใต้!J655"")"),249)</f>
        <v>249</v>
      </c>
      <c r="K653" s="41"/>
      <c r="L653" s="41"/>
      <c r="M653" s="41"/>
      <c r="N653" s="453"/>
      <c r="O653" s="41"/>
      <c r="P653" s="41"/>
      <c r="Q653" s="41"/>
      <c r="R653" s="41"/>
      <c r="S653" s="453"/>
      <c r="T653" s="41"/>
      <c r="U653" s="41"/>
    </row>
    <row r="654" spans="1:21" ht="18.75" x14ac:dyDescent="0.25">
      <c r="A654" s="213"/>
      <c r="B654" s="170"/>
      <c r="C654" s="170"/>
      <c r="D654" s="36"/>
      <c r="E654" s="36"/>
      <c r="F654" s="36"/>
      <c r="G654" s="38"/>
      <c r="H654" s="151" t="s">
        <v>34</v>
      </c>
      <c r="I654" s="186"/>
      <c r="J654" s="176">
        <f ca="1">IFERROR(__xludf.DUMMYFUNCTION("IMPORTRANGE(""https://docs.google.com/spreadsheets/d/12pGRKgvn2b31Uz_fjAl3XPzZUM_F2_O-zAHL2XHEPZg/edit?usp=sharing"",""รวมเหนือ!J656"")+IMPORTRANGE(""https://docs.google.com/spreadsheets/d/1c0UfJUA6nE6esVMy0kRcX_PENtt96DMxicQpqi3tips/edit?usp=sharing"","""&amp;"รวมตะวันออกเฉียงเหนือ!J656"")+IMPORTRANGE(""https://docs.google.com/spreadsheets/d/1iNWbYmj0agxPDl_yJgGu1eIremFPVMUuMWUKAjBzvrk/edit?usp=sharing"",""รวมกลาง!J656"")+IMPORTRANGE(""https://docs.google.com/spreadsheets/d/1uenpWDAH2bchvfvsSIjpd4bRU5D1faxJOaE3"&amp;"4GQM5-c/edit?usp=sharing"",""รวมใต้!J656"")"),268)</f>
        <v>268</v>
      </c>
      <c r="K654" s="41"/>
      <c r="L654" s="41"/>
      <c r="M654" s="41"/>
      <c r="N654" s="453"/>
      <c r="O654" s="41"/>
      <c r="P654" s="41"/>
      <c r="Q654" s="41"/>
      <c r="R654" s="41"/>
      <c r="S654" s="453"/>
      <c r="T654" s="41"/>
      <c r="U654" s="41"/>
    </row>
    <row r="655" spans="1:21" ht="18.75" x14ac:dyDescent="0.25">
      <c r="A655" s="213"/>
      <c r="B655" s="170"/>
      <c r="C655" s="170"/>
      <c r="D655" s="36"/>
      <c r="E655" s="36"/>
      <c r="F655" s="36"/>
      <c r="G655" s="38"/>
      <c r="H655" s="151" t="s">
        <v>46</v>
      </c>
      <c r="I655" s="452">
        <f ca="1">IFERROR(__xludf.DUMMYFUNCTION("IMPORTRANGE(""https://docs.google.com/spreadsheets/d/12pGRKgvn2b31Uz_fjAl3XPzZUM_F2_O-zAHL2XHEPZg/edit?usp=sharing"",""รวมเหนือ!I657"")+IMPORTRANGE(""https://docs.google.com/spreadsheets/d/1c0UfJUA6nE6esVMy0kRcX_PENtt96DMxicQpqi3tips/edit?usp=sharing"","""&amp;"รวมตะวันออกเฉียงเหนือ!I657"")+IMPORTRANGE(""https://docs.google.com/spreadsheets/d/1iNWbYmj0agxPDl_yJgGu1eIremFPVMUuMWUKAjBzvrk/edit?usp=sharing"",""รวมกลาง!I657"")+IMPORTRANGE(""https://docs.google.com/spreadsheets/d/1uenpWDAH2bchvfvsSIjpd4bRU5D1faxJOaE3"&amp;"4GQM5-c/edit?usp=sharing"",""รวมใต้!I657"")"),2547)</f>
        <v>2547</v>
      </c>
      <c r="J655" s="452">
        <f ca="1">IFERROR(__xludf.DUMMYFUNCTION("IMPORTRANGE(""https://docs.google.com/spreadsheets/d/12pGRKgvn2b31Uz_fjAl3XPzZUM_F2_O-zAHL2XHEPZg/edit?usp=sharing"",""รวมเหนือ!J657"")+IMPORTRANGE(""https://docs.google.com/spreadsheets/d/1c0UfJUA6nE6esVMy0kRcX_PENtt96DMxicQpqi3tips/edit?usp=sharing"","""&amp;"รวมตะวันออกเฉียงเหนือ!J657"")+IMPORTRANGE(""https://docs.google.com/spreadsheets/d/1iNWbYmj0agxPDl_yJgGu1eIremFPVMUuMWUKAjBzvrk/edit?usp=sharing"",""รวมกลาง!J657"")+IMPORTRANGE(""https://docs.google.com/spreadsheets/d/1uenpWDAH2bchvfvsSIjpd4bRU5D1faxJOaE3"&amp;"4GQM5-c/edit?usp=sharing"",""รวมใต้!J657"")"),3720.73)</f>
        <v>3720.73</v>
      </c>
      <c r="K655" s="41"/>
      <c r="L655" s="41"/>
      <c r="M655" s="41"/>
      <c r="N655" s="453"/>
      <c r="O655" s="41"/>
      <c r="P655" s="41"/>
      <c r="Q655" s="41"/>
      <c r="R655" s="41"/>
      <c r="S655" s="453"/>
      <c r="T655" s="41"/>
      <c r="U655" s="41"/>
    </row>
    <row r="656" spans="1:21" ht="18.75" x14ac:dyDescent="0.25">
      <c r="A656" s="213"/>
      <c r="B656" s="170"/>
      <c r="C656" s="170"/>
      <c r="D656" s="36"/>
      <c r="E656" s="43" t="s">
        <v>251</v>
      </c>
      <c r="F656" s="36"/>
      <c r="G656" s="38"/>
      <c r="H656" s="151" t="s">
        <v>35</v>
      </c>
      <c r="I656" s="186"/>
      <c r="J656" s="176">
        <f ca="1">IFERROR(__xludf.DUMMYFUNCTION("IMPORTRANGE(""https://docs.google.com/spreadsheets/d/12pGRKgvn2b31Uz_fjAl3XPzZUM_F2_O-zAHL2XHEPZg/edit?usp=sharing"",""รวมเหนือ!J658"")+IMPORTRANGE(""https://docs.google.com/spreadsheets/d/1c0UfJUA6nE6esVMy0kRcX_PENtt96DMxicQpqi3tips/edit?usp=sharing"","""&amp;"รวมตะวันออกเฉียงเหนือ!J658"")+IMPORTRANGE(""https://docs.google.com/spreadsheets/d/1iNWbYmj0agxPDl_yJgGu1eIremFPVMUuMWUKAjBzvrk/edit?usp=sharing"",""รวมกลาง!J658"")+IMPORTRANGE(""https://docs.google.com/spreadsheets/d/1uenpWDAH2bchvfvsSIjpd4bRU5D1faxJOaE3"&amp;"4GQM5-c/edit?usp=sharing"",""รวมใต้!J658"")"),37)</f>
        <v>37</v>
      </c>
      <c r="K656" s="41"/>
      <c r="L656" s="41"/>
      <c r="M656" s="41"/>
      <c r="N656" s="453"/>
      <c r="O656" s="41"/>
      <c r="P656" s="41"/>
      <c r="Q656" s="41"/>
      <c r="R656" s="41"/>
      <c r="S656" s="453"/>
      <c r="T656" s="41"/>
      <c r="U656" s="41"/>
    </row>
    <row r="657" spans="1:21" ht="18.75" x14ac:dyDescent="0.25">
      <c r="A657" s="213"/>
      <c r="B657" s="170"/>
      <c r="C657" s="170"/>
      <c r="D657" s="36"/>
      <c r="E657" s="36"/>
      <c r="F657" s="36"/>
      <c r="G657" s="38"/>
      <c r="H657" s="151" t="s">
        <v>34</v>
      </c>
      <c r="I657" s="186"/>
      <c r="J657" s="176">
        <f ca="1">IFERROR(__xludf.DUMMYFUNCTION("IMPORTRANGE(""https://docs.google.com/spreadsheets/d/12pGRKgvn2b31Uz_fjAl3XPzZUM_F2_O-zAHL2XHEPZg/edit?usp=sharing"",""รวมเหนือ!J659"")+IMPORTRANGE(""https://docs.google.com/spreadsheets/d/1c0UfJUA6nE6esVMy0kRcX_PENtt96DMxicQpqi3tips/edit?usp=sharing"","""&amp;"รวมตะวันออกเฉียงเหนือ!J659"")+IMPORTRANGE(""https://docs.google.com/spreadsheets/d/1iNWbYmj0agxPDl_yJgGu1eIremFPVMUuMWUKAjBzvrk/edit?usp=sharing"",""รวมกลาง!J659"")+IMPORTRANGE(""https://docs.google.com/spreadsheets/d/1uenpWDAH2bchvfvsSIjpd4bRU5D1faxJOaE3"&amp;"4GQM5-c/edit?usp=sharing"",""รวมใต้!J659"")"),47)</f>
        <v>47</v>
      </c>
      <c r="K657" s="41"/>
      <c r="L657" s="41"/>
      <c r="M657" s="41"/>
      <c r="N657" s="453"/>
      <c r="O657" s="41"/>
      <c r="P657" s="41"/>
      <c r="Q657" s="41"/>
      <c r="R657" s="41"/>
      <c r="S657" s="453"/>
      <c r="T657" s="41"/>
      <c r="U657" s="41"/>
    </row>
    <row r="658" spans="1:21" ht="18.75" x14ac:dyDescent="0.25">
      <c r="A658" s="213"/>
      <c r="B658" s="170"/>
      <c r="C658" s="170"/>
      <c r="D658" s="36"/>
      <c r="E658" s="36"/>
      <c r="F658" s="36"/>
      <c r="G658" s="38"/>
      <c r="H658" s="151" t="s">
        <v>46</v>
      </c>
      <c r="I658" s="452">
        <f ca="1">IFERROR(__xludf.DUMMYFUNCTION("IMPORTRANGE(""https://docs.google.com/spreadsheets/d/12pGRKgvn2b31Uz_fjAl3XPzZUM_F2_O-zAHL2XHEPZg/edit?usp=sharing"",""รวมเหนือ!I660"")+IMPORTRANGE(""https://docs.google.com/spreadsheets/d/1c0UfJUA6nE6esVMy0kRcX_PENtt96DMxicQpqi3tips/edit?usp=sharing"","""&amp;"รวมตะวันออกเฉียงเหนือ!I660"")+IMPORTRANGE(""https://docs.google.com/spreadsheets/d/1iNWbYmj0agxPDl_yJgGu1eIremFPVMUuMWUKAjBzvrk/edit?usp=sharing"",""รวมกลาง!I660"")+IMPORTRANGE(""https://docs.google.com/spreadsheets/d/1uenpWDAH2bchvfvsSIjpd4bRU5D1faxJOaE3"&amp;"4GQM5-c/edit?usp=sharing"",""รวมใต้!I660"")"),1139)</f>
        <v>1139</v>
      </c>
      <c r="J658" s="452">
        <f ca="1">IFERROR(__xludf.DUMMYFUNCTION("IMPORTRANGE(""https://docs.google.com/spreadsheets/d/12pGRKgvn2b31Uz_fjAl3XPzZUM_F2_O-zAHL2XHEPZg/edit?usp=sharing"",""รวมเหนือ!J660"")+IMPORTRANGE(""https://docs.google.com/spreadsheets/d/1c0UfJUA6nE6esVMy0kRcX_PENtt96DMxicQpqi3tips/edit?usp=sharing"","""&amp;"รวมตะวันออกเฉียงเหนือ!J660"")+IMPORTRANGE(""https://docs.google.com/spreadsheets/d/1iNWbYmj0agxPDl_yJgGu1eIremFPVMUuMWUKAjBzvrk/edit?usp=sharing"",""รวมกลาง!J660"")+IMPORTRANGE(""https://docs.google.com/spreadsheets/d/1uenpWDAH2bchvfvsSIjpd4bRU5D1faxJOaE3"&amp;"4GQM5-c/edit?usp=sharing"",""รวมใต้!J660"")"),563.65)</f>
        <v>563.65</v>
      </c>
      <c r="K658" s="41"/>
      <c r="L658" s="41"/>
      <c r="M658" s="41"/>
      <c r="N658" s="453"/>
      <c r="O658" s="41"/>
      <c r="P658" s="41"/>
      <c r="Q658" s="41"/>
      <c r="R658" s="41"/>
      <c r="S658" s="453"/>
      <c r="T658" s="41"/>
      <c r="U658" s="41"/>
    </row>
    <row r="659" spans="1:21" ht="19.5" x14ac:dyDescent="0.3">
      <c r="A659" s="213"/>
      <c r="B659" s="170"/>
      <c r="C659" s="170"/>
      <c r="D659" s="358" t="s">
        <v>252</v>
      </c>
      <c r="E659" s="36"/>
      <c r="F659" s="36"/>
      <c r="G659" s="38"/>
      <c r="H659" s="414" t="s">
        <v>46</v>
      </c>
      <c r="I659" s="454">
        <f ca="1">IFERROR(__xludf.DUMMYFUNCTION("IMPORTRANGE(""https://docs.google.com/spreadsheets/d/12pGRKgvn2b31Uz_fjAl3XPzZUM_F2_O-zAHL2XHEPZg/edit?usp=sharing"",""รวมเหนือ!I661"")+IMPORTRANGE(""https://docs.google.com/spreadsheets/d/1c0UfJUA6nE6esVMy0kRcX_PENtt96DMxicQpqi3tips/edit?usp=sharing"","""&amp;"รวมตะวันออกเฉียงเหนือ!I661"")+IMPORTRANGE(""https://docs.google.com/spreadsheets/d/1iNWbYmj0agxPDl_yJgGu1eIremFPVMUuMWUKAjBzvrk/edit?usp=sharing"",""รวมกลาง!I661"")+IMPORTRANGE(""https://docs.google.com/spreadsheets/d/1uenpWDAH2bchvfvsSIjpd4bRU5D1faxJOaE3"&amp;"4GQM5-c/edit?usp=sharing"",""รวมใต้!I661"")"),4295)</f>
        <v>4295</v>
      </c>
      <c r="J659" s="161">
        <f ca="1">J665+J668</f>
        <v>1925.4970000000001</v>
      </c>
      <c r="K659" s="146">
        <f ca="1">IF(I659&gt;0,J659*100/I659,0)</f>
        <v>44.831129220023286</v>
      </c>
      <c r="L659" s="41"/>
      <c r="M659" s="41"/>
      <c r="N659" s="453"/>
      <c r="O659" s="41"/>
      <c r="P659" s="41"/>
      <c r="Q659" s="41"/>
      <c r="R659" s="41"/>
      <c r="S659" s="453"/>
      <c r="T659" s="41"/>
      <c r="U659" s="41"/>
    </row>
    <row r="660" spans="1:21" ht="18.75" x14ac:dyDescent="0.25">
      <c r="A660" s="213"/>
      <c r="B660" s="170"/>
      <c r="C660" s="170"/>
      <c r="D660" s="36"/>
      <c r="E660" s="43" t="s">
        <v>253</v>
      </c>
      <c r="F660" s="36"/>
      <c r="G660" s="38"/>
      <c r="H660" s="151" t="s">
        <v>34</v>
      </c>
      <c r="I660" s="186"/>
      <c r="J660" s="176">
        <f ca="1">IFERROR(__xludf.DUMMYFUNCTION("IMPORTRANGE(""https://docs.google.com/spreadsheets/d/12pGRKgvn2b31Uz_fjAl3XPzZUM_F2_O-zAHL2XHEPZg/edit?usp=sharing"",""รวมเหนือ!J662"")+IMPORTRANGE(""https://docs.google.com/spreadsheets/d/1c0UfJUA6nE6esVMy0kRcX_PENtt96DMxicQpqi3tips/edit?usp=sharing"","""&amp;"รวมตะวันออกเฉียงเหนือ!J662"")+IMPORTRANGE(""https://docs.google.com/spreadsheets/d/1iNWbYmj0agxPDl_yJgGu1eIremFPVMUuMWUKAjBzvrk/edit?usp=sharing"",""รวมกลาง!J662"")+IMPORTRANGE(""https://docs.google.com/spreadsheets/d/1uenpWDAH2bchvfvsSIjpd4bRU5D1faxJOaE3"&amp;"4GQM5-c/edit?usp=sharing"",""รวมใต้!J662"")"),60)</f>
        <v>60</v>
      </c>
      <c r="K660" s="41"/>
      <c r="L660" s="453"/>
      <c r="M660" s="453"/>
      <c r="N660" s="453"/>
      <c r="O660" s="41"/>
      <c r="P660" s="41"/>
      <c r="Q660" s="453"/>
      <c r="R660" s="453"/>
      <c r="S660" s="453"/>
      <c r="T660" s="41"/>
      <c r="U660" s="41"/>
    </row>
    <row r="661" spans="1:21" ht="18.75" x14ac:dyDescent="0.25">
      <c r="A661" s="213"/>
      <c r="B661" s="170"/>
      <c r="C661" s="170"/>
      <c r="D661" s="36"/>
      <c r="E661" s="36"/>
      <c r="F661" s="36"/>
      <c r="G661" s="38"/>
      <c r="H661" s="151" t="s">
        <v>46</v>
      </c>
      <c r="I661" s="186"/>
      <c r="J661" s="176">
        <f ca="1">IFERROR(__xludf.DUMMYFUNCTION("IMPORTRANGE(""https://docs.google.com/spreadsheets/d/12pGRKgvn2b31Uz_fjAl3XPzZUM_F2_O-zAHL2XHEPZg/edit?usp=sharing"",""รวมเหนือ!J663"")+IMPORTRANGE(""https://docs.google.com/spreadsheets/d/1c0UfJUA6nE6esVMy0kRcX_PENtt96DMxicQpqi3tips/edit?usp=sharing"","""&amp;"รวมตะวันออกเฉียงเหนือ!J663"")+IMPORTRANGE(""https://docs.google.com/spreadsheets/d/1iNWbYmj0agxPDl_yJgGu1eIremFPVMUuMWUKAjBzvrk/edit?usp=sharing"",""รวมกลาง!J663"")+IMPORTRANGE(""https://docs.google.com/spreadsheets/d/1uenpWDAH2bchvfvsSIjpd4bRU5D1faxJOaE3"&amp;"4GQM5-c/edit?usp=sharing"",""รวมใต้!J663"")"),351.267)</f>
        <v>351.267</v>
      </c>
      <c r="K661" s="41"/>
      <c r="L661" s="453"/>
      <c r="M661" s="453"/>
      <c r="N661" s="453"/>
      <c r="O661" s="41"/>
      <c r="P661" s="41"/>
      <c r="Q661" s="453"/>
      <c r="R661" s="453"/>
      <c r="S661" s="453"/>
      <c r="T661" s="41"/>
      <c r="U661" s="41"/>
    </row>
    <row r="662" spans="1:21" ht="18.75" x14ac:dyDescent="0.25">
      <c r="A662" s="213"/>
      <c r="B662" s="170"/>
      <c r="C662" s="170"/>
      <c r="D662" s="36"/>
      <c r="E662" s="43" t="s">
        <v>254</v>
      </c>
      <c r="F662" s="36"/>
      <c r="G662" s="38"/>
      <c r="H662" s="185"/>
      <c r="I662" s="186"/>
      <c r="J662" s="40"/>
      <c r="K662" s="41"/>
      <c r="L662" s="453"/>
      <c r="M662" s="453"/>
      <c r="N662" s="453"/>
      <c r="O662" s="41"/>
      <c r="P662" s="41"/>
      <c r="Q662" s="453"/>
      <c r="R662" s="453"/>
      <c r="S662" s="453"/>
      <c r="T662" s="41"/>
      <c r="U662" s="41"/>
    </row>
    <row r="663" spans="1:21" ht="18.75" x14ac:dyDescent="0.25">
      <c r="A663" s="213"/>
      <c r="B663" s="170"/>
      <c r="C663" s="170"/>
      <c r="D663" s="36"/>
      <c r="E663" s="36"/>
      <c r="F663" s="43" t="s">
        <v>255</v>
      </c>
      <c r="G663" s="38"/>
      <c r="H663" s="151" t="s">
        <v>35</v>
      </c>
      <c r="I663" s="186"/>
      <c r="J663" s="176">
        <f ca="1">IFERROR(__xludf.DUMMYFUNCTION("IMPORTRANGE(""https://docs.google.com/spreadsheets/d/12pGRKgvn2b31Uz_fjAl3XPzZUM_F2_O-zAHL2XHEPZg/edit?usp=sharing"",""รวมเหนือ!J665"")+IMPORTRANGE(""https://docs.google.com/spreadsheets/d/1c0UfJUA6nE6esVMy0kRcX_PENtt96DMxicQpqi3tips/edit?usp=sharing"","""&amp;"รวมตะวันออกเฉียงเหนือ!J665"")+IMPORTRANGE(""https://docs.google.com/spreadsheets/d/1iNWbYmj0agxPDl_yJgGu1eIremFPVMUuMWUKAjBzvrk/edit?usp=sharing"",""รวมกลาง!J665"")+IMPORTRANGE(""https://docs.google.com/spreadsheets/d/1uenpWDAH2bchvfvsSIjpd4bRU5D1faxJOaE3"&amp;"4GQM5-c/edit?usp=sharing"",""รวมใต้!J665"")"),169)</f>
        <v>169</v>
      </c>
      <c r="K663" s="41"/>
      <c r="L663" s="453"/>
      <c r="M663" s="453"/>
      <c r="N663" s="453"/>
      <c r="O663" s="41"/>
      <c r="P663" s="41"/>
      <c r="Q663" s="453"/>
      <c r="R663" s="453"/>
      <c r="S663" s="453"/>
      <c r="T663" s="41"/>
      <c r="U663" s="41"/>
    </row>
    <row r="664" spans="1:21" ht="18.75" x14ac:dyDescent="0.25">
      <c r="A664" s="213"/>
      <c r="B664" s="170"/>
      <c r="C664" s="170"/>
      <c r="D664" s="36"/>
      <c r="E664" s="36"/>
      <c r="F664" s="36"/>
      <c r="G664" s="38"/>
      <c r="H664" s="151" t="s">
        <v>34</v>
      </c>
      <c r="I664" s="186"/>
      <c r="J664" s="176">
        <f ca="1">IFERROR(__xludf.DUMMYFUNCTION("IMPORTRANGE(""https://docs.google.com/spreadsheets/d/12pGRKgvn2b31Uz_fjAl3XPzZUM_F2_O-zAHL2XHEPZg/edit?usp=sharing"",""รวมเหนือ!J666"")+IMPORTRANGE(""https://docs.google.com/spreadsheets/d/1c0UfJUA6nE6esVMy0kRcX_PENtt96DMxicQpqi3tips/edit?usp=sharing"","""&amp;"รวมตะวันออกเฉียงเหนือ!J666"")+IMPORTRANGE(""https://docs.google.com/spreadsheets/d/1iNWbYmj0agxPDl_yJgGu1eIremFPVMUuMWUKAjBzvrk/edit?usp=sharing"",""รวมกลาง!J666"")+IMPORTRANGE(""https://docs.google.com/spreadsheets/d/1uenpWDAH2bchvfvsSIjpd4bRU5D1faxJOaE3"&amp;"4GQM5-c/edit?usp=sharing"",""รวมใต้!J666"")"),128)</f>
        <v>128</v>
      </c>
      <c r="K664" s="41"/>
      <c r="L664" s="453"/>
      <c r="M664" s="453"/>
      <c r="N664" s="453"/>
      <c r="O664" s="41"/>
      <c r="P664" s="41"/>
      <c r="Q664" s="453"/>
      <c r="R664" s="453"/>
      <c r="S664" s="453"/>
      <c r="T664" s="41"/>
      <c r="U664" s="41"/>
    </row>
    <row r="665" spans="1:21" ht="18.75" x14ac:dyDescent="0.25">
      <c r="A665" s="213"/>
      <c r="B665" s="170"/>
      <c r="C665" s="170"/>
      <c r="D665" s="36"/>
      <c r="E665" s="36"/>
      <c r="F665" s="36"/>
      <c r="G665" s="38"/>
      <c r="H665" s="151" t="s">
        <v>46</v>
      </c>
      <c r="I665" s="186"/>
      <c r="J665" s="176">
        <f ca="1">IFERROR(__xludf.DUMMYFUNCTION("IMPORTRANGE(""https://docs.google.com/spreadsheets/d/12pGRKgvn2b31Uz_fjAl3XPzZUM_F2_O-zAHL2XHEPZg/edit?usp=sharing"",""รวมเหนือ!J667"")+IMPORTRANGE(""https://docs.google.com/spreadsheets/d/1c0UfJUA6nE6esVMy0kRcX_PENtt96DMxicQpqi3tips/edit?usp=sharing"","""&amp;"รวมตะวันออกเฉียงเหนือ!J667"")+IMPORTRANGE(""https://docs.google.com/spreadsheets/d/1iNWbYmj0agxPDl_yJgGu1eIremFPVMUuMWUKAjBzvrk/edit?usp=sharing"",""รวมกลาง!J667"")+IMPORTRANGE(""https://docs.google.com/spreadsheets/d/1uenpWDAH2bchvfvsSIjpd4bRU5D1faxJOaE3"&amp;"4GQM5-c/edit?usp=sharing"",""รวมใต้!J667"")"),1308.0875)</f>
        <v>1308.0875000000001</v>
      </c>
      <c r="K665" s="41"/>
      <c r="L665" s="453"/>
      <c r="M665" s="453"/>
      <c r="N665" s="453"/>
      <c r="O665" s="41"/>
      <c r="P665" s="41"/>
      <c r="Q665" s="453"/>
      <c r="R665" s="453"/>
      <c r="S665" s="453"/>
      <c r="T665" s="41"/>
      <c r="U665" s="41"/>
    </row>
    <row r="666" spans="1:21" ht="18.75" x14ac:dyDescent="0.25">
      <c r="A666" s="213"/>
      <c r="B666" s="170"/>
      <c r="C666" s="170"/>
      <c r="D666" s="36"/>
      <c r="E666" s="36"/>
      <c r="F666" s="43" t="s">
        <v>256</v>
      </c>
      <c r="G666" s="38"/>
      <c r="H666" s="151" t="s">
        <v>35</v>
      </c>
      <c r="I666" s="186"/>
      <c r="J666" s="176">
        <f ca="1">IFERROR(__xludf.DUMMYFUNCTION("IMPORTRANGE(""https://docs.google.com/spreadsheets/d/12pGRKgvn2b31Uz_fjAl3XPzZUM_F2_O-zAHL2XHEPZg/edit?usp=sharing"",""รวมเหนือ!J668"")+IMPORTRANGE(""https://docs.google.com/spreadsheets/d/1c0UfJUA6nE6esVMy0kRcX_PENtt96DMxicQpqi3tips/edit?usp=sharing"","""&amp;"รวมตะวันออกเฉียงเหนือ!J668"")+IMPORTRANGE(""https://docs.google.com/spreadsheets/d/1iNWbYmj0agxPDl_yJgGu1eIremFPVMUuMWUKAjBzvrk/edit?usp=sharing"",""รวมกลาง!J668"")+IMPORTRANGE(""https://docs.google.com/spreadsheets/d/1uenpWDAH2bchvfvsSIjpd4bRU5D1faxJOaE3"&amp;"4GQM5-c/edit?usp=sharing"",""รวมใต้!J668"")"),75)</f>
        <v>75</v>
      </c>
      <c r="K666" s="41"/>
      <c r="L666" s="453"/>
      <c r="M666" s="453"/>
      <c r="N666" s="453"/>
      <c r="O666" s="41"/>
      <c r="P666" s="41"/>
      <c r="Q666" s="453"/>
      <c r="R666" s="453"/>
      <c r="S666" s="453"/>
      <c r="T666" s="41"/>
      <c r="U666" s="41"/>
    </row>
    <row r="667" spans="1:21" ht="18.75" x14ac:dyDescent="0.25">
      <c r="A667" s="213"/>
      <c r="B667" s="170"/>
      <c r="C667" s="170"/>
      <c r="D667" s="36"/>
      <c r="E667" s="36"/>
      <c r="F667" s="36"/>
      <c r="G667" s="38"/>
      <c r="H667" s="151" t="s">
        <v>34</v>
      </c>
      <c r="I667" s="186"/>
      <c r="J667" s="176">
        <f ca="1">IFERROR(__xludf.DUMMYFUNCTION("IMPORTRANGE(""https://docs.google.com/spreadsheets/d/12pGRKgvn2b31Uz_fjAl3XPzZUM_F2_O-zAHL2XHEPZg/edit?usp=sharing"",""รวมเหนือ!J669"")+IMPORTRANGE(""https://docs.google.com/spreadsheets/d/1c0UfJUA6nE6esVMy0kRcX_PENtt96DMxicQpqi3tips/edit?usp=sharing"","""&amp;"รวมตะวันออกเฉียงเหนือ!J669"")+IMPORTRANGE(""https://docs.google.com/spreadsheets/d/1iNWbYmj0agxPDl_yJgGu1eIremFPVMUuMWUKAjBzvrk/edit?usp=sharing"",""รวมกลาง!J669"")+IMPORTRANGE(""https://docs.google.com/spreadsheets/d/1uenpWDAH2bchvfvsSIjpd4bRU5D1faxJOaE3"&amp;"4GQM5-c/edit?usp=sharing"",""รวมใต้!J669"")"),77)</f>
        <v>77</v>
      </c>
      <c r="K667" s="41"/>
      <c r="L667" s="453"/>
      <c r="M667" s="453"/>
      <c r="N667" s="453"/>
      <c r="O667" s="41"/>
      <c r="P667" s="41"/>
      <c r="Q667" s="453"/>
      <c r="R667" s="453"/>
      <c r="S667" s="453"/>
      <c r="T667" s="41"/>
      <c r="U667" s="41"/>
    </row>
    <row r="668" spans="1:21" ht="18.75" x14ac:dyDescent="0.25">
      <c r="A668" s="213"/>
      <c r="B668" s="170"/>
      <c r="C668" s="170"/>
      <c r="D668" s="36"/>
      <c r="E668" s="36"/>
      <c r="F668" s="36"/>
      <c r="G668" s="38"/>
      <c r="H668" s="151" t="s">
        <v>46</v>
      </c>
      <c r="I668" s="186"/>
      <c r="J668" s="176">
        <f ca="1">IFERROR(__xludf.DUMMYFUNCTION("IMPORTRANGE(""https://docs.google.com/spreadsheets/d/12pGRKgvn2b31Uz_fjAl3XPzZUM_F2_O-zAHL2XHEPZg/edit?usp=sharing"",""รวมเหนือ!J670"")+IMPORTRANGE(""https://docs.google.com/spreadsheets/d/1c0UfJUA6nE6esVMy0kRcX_PENtt96DMxicQpqi3tips/edit?usp=sharing"","""&amp;"รวมตะวันออกเฉียงเหนือ!J670"")+IMPORTRANGE(""https://docs.google.com/spreadsheets/d/1iNWbYmj0agxPDl_yJgGu1eIremFPVMUuMWUKAjBzvrk/edit?usp=sharing"",""รวมกลาง!J670"")+IMPORTRANGE(""https://docs.google.com/spreadsheets/d/1uenpWDAH2bchvfvsSIjpd4bRU5D1faxJOaE3"&amp;"4GQM5-c/edit?usp=sharing"",""รวมใต้!J670"")"),617.4095)</f>
        <v>617.40949999999998</v>
      </c>
      <c r="K668" s="41"/>
      <c r="L668" s="453"/>
      <c r="M668" s="453"/>
      <c r="N668" s="453"/>
      <c r="O668" s="41"/>
      <c r="P668" s="41"/>
      <c r="Q668" s="453"/>
      <c r="R668" s="453"/>
      <c r="S668" s="453"/>
      <c r="T668" s="41"/>
      <c r="U668" s="41"/>
    </row>
    <row r="669" spans="1:21" ht="18.75" x14ac:dyDescent="0.25">
      <c r="A669" s="213"/>
      <c r="B669" s="170"/>
      <c r="C669" s="170"/>
      <c r="D669" s="43" t="s">
        <v>257</v>
      </c>
      <c r="E669" s="36"/>
      <c r="F669" s="36"/>
      <c r="G669" s="38"/>
      <c r="H669" s="151" t="s">
        <v>35</v>
      </c>
      <c r="I669" s="186"/>
      <c r="J669" s="176">
        <f ca="1">IFERROR(__xludf.DUMMYFUNCTION("IMPORTRANGE(""https://docs.google.com/spreadsheets/d/12pGRKgvn2b31Uz_fjAl3XPzZUM_F2_O-zAHL2XHEPZg/edit?usp=sharing"",""รวมเหนือ!J671"")+IMPORTRANGE(""https://docs.google.com/spreadsheets/d/1c0UfJUA6nE6esVMy0kRcX_PENtt96DMxicQpqi3tips/edit?usp=sharing"","""&amp;"รวมตะวันออกเฉียงเหนือ!J671"")+IMPORTRANGE(""https://docs.google.com/spreadsheets/d/1iNWbYmj0agxPDl_yJgGu1eIremFPVMUuMWUKAjBzvrk/edit?usp=sharing"",""รวมกลาง!J671"")+IMPORTRANGE(""https://docs.google.com/spreadsheets/d/1uenpWDAH2bchvfvsSIjpd4bRU5D1faxJOaE3"&amp;"4GQM5-c/edit?usp=sharing"",""รวมใต้!J671"")"),203)</f>
        <v>203</v>
      </c>
      <c r="K669" s="41"/>
      <c r="L669" s="41"/>
      <c r="M669" s="41"/>
      <c r="N669" s="453"/>
      <c r="O669" s="41"/>
      <c r="P669" s="41"/>
      <c r="Q669" s="41"/>
      <c r="R669" s="41"/>
      <c r="S669" s="453"/>
      <c r="T669" s="41"/>
      <c r="U669" s="41"/>
    </row>
    <row r="670" spans="1:21" ht="18.75" x14ac:dyDescent="0.25">
      <c r="A670" s="213"/>
      <c r="B670" s="170"/>
      <c r="C670" s="170"/>
      <c r="D670" s="36"/>
      <c r="E670" s="36"/>
      <c r="F670" s="36"/>
      <c r="G670" s="38"/>
      <c r="H670" s="151" t="s">
        <v>34</v>
      </c>
      <c r="I670" s="186"/>
      <c r="J670" s="176">
        <f ca="1">IFERROR(__xludf.DUMMYFUNCTION("IMPORTRANGE(""https://docs.google.com/spreadsheets/d/12pGRKgvn2b31Uz_fjAl3XPzZUM_F2_O-zAHL2XHEPZg/edit?usp=sharing"",""รวมเหนือ!J672"")+IMPORTRANGE(""https://docs.google.com/spreadsheets/d/1c0UfJUA6nE6esVMy0kRcX_PENtt96DMxicQpqi3tips/edit?usp=sharing"","""&amp;"รวมตะวันออกเฉียงเหนือ!J672"")+IMPORTRANGE(""https://docs.google.com/spreadsheets/d/1iNWbYmj0agxPDl_yJgGu1eIremFPVMUuMWUKAjBzvrk/edit?usp=sharing"",""รวมกลาง!J672"")+IMPORTRANGE(""https://docs.google.com/spreadsheets/d/1uenpWDAH2bchvfvsSIjpd4bRU5D1faxJOaE3"&amp;"4GQM5-c/edit?usp=sharing"",""รวมใต้!J672"")"),220)</f>
        <v>220</v>
      </c>
      <c r="K670" s="41"/>
      <c r="L670" s="453"/>
      <c r="M670" s="453"/>
      <c r="N670" s="453"/>
      <c r="O670" s="41"/>
      <c r="P670" s="41"/>
      <c r="Q670" s="453"/>
      <c r="R670" s="453"/>
      <c r="S670" s="453"/>
      <c r="T670" s="41"/>
      <c r="U670" s="41"/>
    </row>
    <row r="671" spans="1:21" ht="18.75" x14ac:dyDescent="0.25">
      <c r="A671" s="213"/>
      <c r="B671" s="170"/>
      <c r="C671" s="170"/>
      <c r="D671" s="36"/>
      <c r="E671" s="36"/>
      <c r="F671" s="36"/>
      <c r="G671" s="38"/>
      <c r="H671" s="151" t="s">
        <v>46</v>
      </c>
      <c r="I671" s="452">
        <f ca="1">IFERROR(__xludf.DUMMYFUNCTION("IMPORTRANGE(""https://docs.google.com/spreadsheets/d/12pGRKgvn2b31Uz_fjAl3XPzZUM_F2_O-zAHL2XHEPZg/edit?usp=sharing"",""รวมเหนือ!I673"")+IMPORTRANGE(""https://docs.google.com/spreadsheets/d/1c0UfJUA6nE6esVMy0kRcX_PENtt96DMxicQpqi3tips/edit?usp=sharing"","""&amp;"รวมตะวันออกเฉียงเหนือ!I673"")+IMPORTRANGE(""https://docs.google.com/spreadsheets/d/1iNWbYmj0agxPDl_yJgGu1eIremFPVMUuMWUKAjBzvrk/edit?usp=sharing"",""รวมกลาง!I673"")+IMPORTRANGE(""https://docs.google.com/spreadsheets/d/1uenpWDAH2bchvfvsSIjpd4bRU5D1faxJOaE3"&amp;"4GQM5-c/edit?usp=sharing"",""รวมใต้!I673"")"),5419)</f>
        <v>5419</v>
      </c>
      <c r="J671" s="452">
        <f ca="1">IFERROR(__xludf.DUMMYFUNCTION("IMPORTRANGE(""https://docs.google.com/spreadsheets/d/12pGRKgvn2b31Uz_fjAl3XPzZUM_F2_O-zAHL2XHEPZg/edit?usp=sharing"",""รวมเหนือ!J673"")+IMPORTRANGE(""https://docs.google.com/spreadsheets/d/1c0UfJUA6nE6esVMy0kRcX_PENtt96DMxicQpqi3tips/edit?usp=sharing"","""&amp;"รวมตะวันออกเฉียงเหนือ!J673"")+IMPORTRANGE(""https://docs.google.com/spreadsheets/d/1iNWbYmj0agxPDl_yJgGu1eIremFPVMUuMWUKAjBzvrk/edit?usp=sharing"",""รวมกลาง!J673"")+IMPORTRANGE(""https://docs.google.com/spreadsheets/d/1uenpWDAH2bchvfvsSIjpd4bRU5D1faxJOaE3"&amp;"4GQM5-c/edit?usp=sharing"",""รวมใต้!J673"")"),3046.73)</f>
        <v>3046.73</v>
      </c>
      <c r="K671" s="42">
        <f t="shared" ref="K671:K674" ca="1" si="442">IF(I671&gt;0,J671*100/I671,0)</f>
        <v>56.223103893707325</v>
      </c>
      <c r="L671" s="453"/>
      <c r="M671" s="453"/>
      <c r="N671" s="453"/>
      <c r="O671" s="41"/>
      <c r="P671" s="41"/>
      <c r="Q671" s="453"/>
      <c r="R671" s="453"/>
      <c r="S671" s="453"/>
      <c r="T671" s="41"/>
      <c r="U671" s="41"/>
    </row>
    <row r="672" spans="1:21" ht="19.5" x14ac:dyDescent="0.3">
      <c r="A672" s="213"/>
      <c r="B672" s="170"/>
      <c r="C672" s="170"/>
      <c r="D672" s="43" t="s">
        <v>258</v>
      </c>
      <c r="E672" s="36"/>
      <c r="F672" s="36"/>
      <c r="G672" s="38"/>
      <c r="H672" s="414" t="s">
        <v>35</v>
      </c>
      <c r="I672" s="454">
        <f ca="1">IFERROR(__xludf.DUMMYFUNCTION("IMPORTRANGE(""https://docs.google.com/spreadsheets/d/12pGRKgvn2b31Uz_fjAl3XPzZUM_F2_O-zAHL2XHEPZg/edit?usp=sharing"",""รวมเหนือ!I674"")+IMPORTRANGE(""https://docs.google.com/spreadsheets/d/1c0UfJUA6nE6esVMy0kRcX_PENtt96DMxicQpqi3tips/edit?usp=sharing"","""&amp;"รวมตะวันออกเฉียงเหนือ!I674"")+IMPORTRANGE(""https://docs.google.com/spreadsheets/d/1iNWbYmj0agxPDl_yJgGu1eIremFPVMUuMWUKAjBzvrk/edit?usp=sharing"",""รวมกลาง!I674"")+IMPORTRANGE(""https://docs.google.com/spreadsheets/d/1uenpWDAH2bchvfvsSIjpd4bRU5D1faxJOaE3"&amp;"4GQM5-c/edit?usp=sharing"",""รวมใต้!I674"")"),401)</f>
        <v>401</v>
      </c>
      <c r="J672" s="161">
        <f ca="1">J674+J677</f>
        <v>476</v>
      </c>
      <c r="K672" s="146">
        <f t="shared" ca="1" si="442"/>
        <v>118.70324189526184</v>
      </c>
      <c r="L672" s="453"/>
      <c r="M672" s="453"/>
      <c r="N672" s="453"/>
      <c r="O672" s="41"/>
      <c r="P672" s="41"/>
      <c r="Q672" s="453"/>
      <c r="R672" s="453"/>
      <c r="S672" s="453"/>
      <c r="T672" s="41"/>
      <c r="U672" s="41"/>
    </row>
    <row r="673" spans="1:21" ht="19.5" x14ac:dyDescent="0.3">
      <c r="A673" s="213"/>
      <c r="B673" s="170"/>
      <c r="C673" s="170"/>
      <c r="D673" s="36"/>
      <c r="E673" s="36"/>
      <c r="F673" s="36"/>
      <c r="G673" s="38"/>
      <c r="H673" s="414" t="s">
        <v>46</v>
      </c>
      <c r="I673" s="454">
        <f ca="1">IFERROR(__xludf.DUMMYFUNCTION("IMPORTRANGE(""https://docs.google.com/spreadsheets/d/12pGRKgvn2b31Uz_fjAl3XPzZUM_F2_O-zAHL2XHEPZg/edit?usp=sharing"",""รวมเหนือ!I675"")+IMPORTRANGE(""https://docs.google.com/spreadsheets/d/1c0UfJUA6nE6esVMy0kRcX_PENtt96DMxicQpqi3tips/edit?usp=sharing"","""&amp;"รวมตะวันออกเฉียงเหนือ!I675"")+IMPORTRANGE(""https://docs.google.com/spreadsheets/d/1iNWbYmj0agxPDl_yJgGu1eIremFPVMUuMWUKAjBzvrk/edit?usp=sharing"",""รวมกลาง!I675"")+IMPORTRANGE(""https://docs.google.com/spreadsheets/d/1uenpWDAH2bchvfvsSIjpd4bRU5D1faxJOaE3"&amp;"4GQM5-c/edit?usp=sharing"",""รวมใต้!I675"")"),4606)</f>
        <v>4606</v>
      </c>
      <c r="J673" s="161">
        <f ca="1">J676+J679</f>
        <v>5629.17</v>
      </c>
      <c r="K673" s="146">
        <f t="shared" ca="1" si="442"/>
        <v>122.21385149804603</v>
      </c>
      <c r="L673" s="41"/>
      <c r="M673" s="41"/>
      <c r="N673" s="453"/>
      <c r="O673" s="41"/>
      <c r="P673" s="41"/>
      <c r="Q673" s="41"/>
      <c r="R673" s="41"/>
      <c r="S673" s="453"/>
      <c r="T673" s="41"/>
      <c r="U673" s="41"/>
    </row>
    <row r="674" spans="1:21" ht="18.75" x14ac:dyDescent="0.25">
      <c r="A674" s="213"/>
      <c r="B674" s="170"/>
      <c r="C674" s="170"/>
      <c r="D674" s="36"/>
      <c r="E674" s="43" t="s">
        <v>259</v>
      </c>
      <c r="F674" s="36"/>
      <c r="G674" s="38"/>
      <c r="H674" s="151" t="s">
        <v>35</v>
      </c>
      <c r="I674" s="452">
        <f ca="1">IFERROR(__xludf.DUMMYFUNCTION("IMPORTRANGE(""https://docs.google.com/spreadsheets/d/12pGRKgvn2b31Uz_fjAl3XPzZUM_F2_O-zAHL2XHEPZg/edit?usp=sharing"",""รวมเหนือ!I676"")+IMPORTRANGE(""https://docs.google.com/spreadsheets/d/1c0UfJUA6nE6esVMy0kRcX_PENtt96DMxicQpqi3tips/edit?usp=sharing"","""&amp;"รวมตะวันออกเฉียงเหนือ!I676"")+IMPORTRANGE(""https://docs.google.com/spreadsheets/d/1iNWbYmj0agxPDl_yJgGu1eIremFPVMUuMWUKAjBzvrk/edit?usp=sharing"",""รวมกลาง!I676"")+IMPORTRANGE(""https://docs.google.com/spreadsheets/d/1uenpWDAH2bchvfvsSIjpd4bRU5D1faxJOaE3"&amp;"4GQM5-c/edit?usp=sharing"",""รวมใต้!I676"")"),294)</f>
        <v>294</v>
      </c>
      <c r="J674" s="452">
        <f ca="1">IFERROR(__xludf.DUMMYFUNCTION("IMPORTRANGE(""https://docs.google.com/spreadsheets/d/12pGRKgvn2b31Uz_fjAl3XPzZUM_F2_O-zAHL2XHEPZg/edit?usp=sharing"",""รวมเหนือ!J676"")+IMPORTRANGE(""https://docs.google.com/spreadsheets/d/1c0UfJUA6nE6esVMy0kRcX_PENtt96DMxicQpqi3tips/edit?usp=sharing"","""&amp;"รวมตะวันออกเฉียงเหนือ!J676"")+IMPORTRANGE(""https://docs.google.com/spreadsheets/d/1iNWbYmj0agxPDl_yJgGu1eIremFPVMUuMWUKAjBzvrk/edit?usp=sharing"",""รวมกลาง!J676"")+IMPORTRANGE(""https://docs.google.com/spreadsheets/d/1uenpWDAH2bchvfvsSIjpd4bRU5D1faxJOaE3"&amp;"4GQM5-c/edit?usp=sharing"",""รวมใต้!J676"")"),350)</f>
        <v>350</v>
      </c>
      <c r="K674" s="42">
        <f t="shared" ca="1" si="442"/>
        <v>119.04761904761905</v>
      </c>
      <c r="L674" s="41"/>
      <c r="M674" s="41"/>
      <c r="N674" s="453"/>
      <c r="O674" s="41"/>
      <c r="P674" s="41"/>
      <c r="Q674" s="41"/>
      <c r="R674" s="41"/>
      <c r="S674" s="453"/>
      <c r="T674" s="41"/>
      <c r="U674" s="41"/>
    </row>
    <row r="675" spans="1:21" ht="18.75" x14ac:dyDescent="0.25">
      <c r="A675" s="213"/>
      <c r="B675" s="170"/>
      <c r="C675" s="170"/>
      <c r="D675" s="36"/>
      <c r="E675" s="36"/>
      <c r="F675" s="36"/>
      <c r="G675" s="38"/>
      <c r="H675" s="151" t="s">
        <v>34</v>
      </c>
      <c r="I675" s="186"/>
      <c r="J675" s="176">
        <f ca="1">IFERROR(__xludf.DUMMYFUNCTION("IMPORTRANGE(""https://docs.google.com/spreadsheets/d/12pGRKgvn2b31Uz_fjAl3XPzZUM_F2_O-zAHL2XHEPZg/edit?usp=sharing"",""รวมเหนือ!J677"")+IMPORTRANGE(""https://docs.google.com/spreadsheets/d/1c0UfJUA6nE6esVMy0kRcX_PENtt96DMxicQpqi3tips/edit?usp=sharing"","""&amp;"รวมตะวันออกเฉียงเหนือ!J677"")+IMPORTRANGE(""https://docs.google.com/spreadsheets/d/1iNWbYmj0agxPDl_yJgGu1eIremFPVMUuMWUKAjBzvrk/edit?usp=sharing"",""รวมกลาง!J677"")+IMPORTRANGE(""https://docs.google.com/spreadsheets/d/1uenpWDAH2bchvfvsSIjpd4bRU5D1faxJOaE3"&amp;"4GQM5-c/edit?usp=sharing"",""รวมใต้!J677"")"),385)</f>
        <v>385</v>
      </c>
      <c r="K675" s="41"/>
      <c r="L675" s="453"/>
      <c r="M675" s="453"/>
      <c r="N675" s="453"/>
      <c r="O675" s="41"/>
      <c r="P675" s="41"/>
      <c r="Q675" s="453"/>
      <c r="R675" s="453"/>
      <c r="S675" s="453"/>
      <c r="T675" s="41"/>
      <c r="U675" s="41"/>
    </row>
    <row r="676" spans="1:21" ht="18.75" x14ac:dyDescent="0.25">
      <c r="A676" s="213"/>
      <c r="B676" s="170"/>
      <c r="C676" s="170"/>
      <c r="D676" s="36"/>
      <c r="E676" s="36"/>
      <c r="F676" s="36"/>
      <c r="G676" s="38"/>
      <c r="H676" s="151" t="s">
        <v>46</v>
      </c>
      <c r="I676" s="452">
        <f ca="1">IFERROR(__xludf.DUMMYFUNCTION("IMPORTRANGE(""https://docs.google.com/spreadsheets/d/12pGRKgvn2b31Uz_fjAl3XPzZUM_F2_O-zAHL2XHEPZg/edit?usp=sharing"",""รวมเหนือ!I678"")+IMPORTRANGE(""https://docs.google.com/spreadsheets/d/1c0UfJUA6nE6esVMy0kRcX_PENtt96DMxicQpqi3tips/edit?usp=sharing"","""&amp;"รวมตะวันออกเฉียงเหนือ!I678"")+IMPORTRANGE(""https://docs.google.com/spreadsheets/d/1iNWbYmj0agxPDl_yJgGu1eIremFPVMUuMWUKAjBzvrk/edit?usp=sharing"",""รวมกลาง!I678"")+IMPORTRANGE(""https://docs.google.com/spreadsheets/d/1uenpWDAH2bchvfvsSIjpd4bRU5D1faxJOaE3"&amp;"4GQM5-c/edit?usp=sharing"",""รวมใต้!I678"")"),3534)</f>
        <v>3534</v>
      </c>
      <c r="J676" s="452">
        <f ca="1">IFERROR(__xludf.DUMMYFUNCTION("IMPORTRANGE(""https://docs.google.com/spreadsheets/d/12pGRKgvn2b31Uz_fjAl3XPzZUM_F2_O-zAHL2XHEPZg/edit?usp=sharing"",""รวมเหนือ!J678"")+IMPORTRANGE(""https://docs.google.com/spreadsheets/d/1c0UfJUA6nE6esVMy0kRcX_PENtt96DMxicQpqi3tips/edit?usp=sharing"","""&amp;"รวมตะวันออกเฉียงเหนือ!J678"")+IMPORTRANGE(""https://docs.google.com/spreadsheets/d/1iNWbYmj0agxPDl_yJgGu1eIremFPVMUuMWUKAjBzvrk/edit?usp=sharing"",""รวมกลาง!J678"")+IMPORTRANGE(""https://docs.google.com/spreadsheets/d/1uenpWDAH2bchvfvsSIjpd4bRU5D1faxJOaE3"&amp;"4GQM5-c/edit?usp=sharing"",""รวมใต้!J678"")"),4768.18)</f>
        <v>4768.18</v>
      </c>
      <c r="K676" s="42">
        <f t="shared" ref="K676:K677" ca="1" si="443">IF(I676&gt;0,J676*100/I676,0)</f>
        <v>134.92303338992642</v>
      </c>
      <c r="L676" s="453"/>
      <c r="M676" s="453"/>
      <c r="N676" s="453"/>
      <c r="O676" s="41"/>
      <c r="P676" s="41"/>
      <c r="Q676" s="453"/>
      <c r="R676" s="453"/>
      <c r="S676" s="453"/>
      <c r="T676" s="41"/>
      <c r="U676" s="41"/>
    </row>
    <row r="677" spans="1:21" ht="18.75" x14ac:dyDescent="0.25">
      <c r="A677" s="213"/>
      <c r="B677" s="170"/>
      <c r="C677" s="170"/>
      <c r="D677" s="36"/>
      <c r="E677" s="43" t="s">
        <v>260</v>
      </c>
      <c r="F677" s="36"/>
      <c r="G677" s="38"/>
      <c r="H677" s="151" t="s">
        <v>35</v>
      </c>
      <c r="I677" s="452">
        <f ca="1">IFERROR(__xludf.DUMMYFUNCTION("IMPORTRANGE(""https://docs.google.com/spreadsheets/d/12pGRKgvn2b31Uz_fjAl3XPzZUM_F2_O-zAHL2XHEPZg/edit?usp=sharing"",""รวมเหนือ!I679"")+IMPORTRANGE(""https://docs.google.com/spreadsheets/d/1c0UfJUA6nE6esVMy0kRcX_PENtt96DMxicQpqi3tips/edit?usp=sharing"","""&amp;"รวมตะวันออกเฉียงเหนือ!I679"")+IMPORTRANGE(""https://docs.google.com/spreadsheets/d/1iNWbYmj0agxPDl_yJgGu1eIremFPVMUuMWUKAjBzvrk/edit?usp=sharing"",""รวมกลาง!I679"")+IMPORTRANGE(""https://docs.google.com/spreadsheets/d/1uenpWDAH2bchvfvsSIjpd4bRU5D1faxJOaE3"&amp;"4GQM5-c/edit?usp=sharing"",""รวมใต้!I679"")"),107)</f>
        <v>107</v>
      </c>
      <c r="J677" s="452">
        <f ca="1">IFERROR(__xludf.DUMMYFUNCTION("IMPORTRANGE(""https://docs.google.com/spreadsheets/d/12pGRKgvn2b31Uz_fjAl3XPzZUM_F2_O-zAHL2XHEPZg/edit?usp=sharing"",""รวมเหนือ!J679"")+IMPORTRANGE(""https://docs.google.com/spreadsheets/d/1c0UfJUA6nE6esVMy0kRcX_PENtt96DMxicQpqi3tips/edit?usp=sharing"","""&amp;"รวมตะวันออกเฉียงเหนือ!J679"")+IMPORTRANGE(""https://docs.google.com/spreadsheets/d/1iNWbYmj0agxPDl_yJgGu1eIremFPVMUuMWUKAjBzvrk/edit?usp=sharing"",""รวมกลาง!J679"")+IMPORTRANGE(""https://docs.google.com/spreadsheets/d/1uenpWDAH2bchvfvsSIjpd4bRU5D1faxJOaE3"&amp;"4GQM5-c/edit?usp=sharing"",""รวมใต้!J679"")"),126)</f>
        <v>126</v>
      </c>
      <c r="K677" s="42">
        <f t="shared" ca="1" si="443"/>
        <v>117.75700934579439</v>
      </c>
      <c r="L677" s="41"/>
      <c r="M677" s="41"/>
      <c r="N677" s="453"/>
      <c r="O677" s="41"/>
      <c r="P677" s="41"/>
      <c r="Q677" s="41"/>
      <c r="R677" s="41"/>
      <c r="S677" s="453"/>
      <c r="T677" s="41"/>
      <c r="U677" s="41"/>
    </row>
    <row r="678" spans="1:21" ht="18.75" x14ac:dyDescent="0.25">
      <c r="A678" s="213"/>
      <c r="B678" s="170"/>
      <c r="C678" s="170"/>
      <c r="D678" s="36"/>
      <c r="E678" s="36"/>
      <c r="F678" s="36"/>
      <c r="G678" s="38"/>
      <c r="H678" s="151" t="s">
        <v>34</v>
      </c>
      <c r="I678" s="186"/>
      <c r="J678" s="176">
        <f ca="1">IFERROR(__xludf.DUMMYFUNCTION("IMPORTRANGE(""https://docs.google.com/spreadsheets/d/12pGRKgvn2b31Uz_fjAl3XPzZUM_F2_O-zAHL2XHEPZg/edit?usp=sharing"",""รวมเหนือ!J680"")+IMPORTRANGE(""https://docs.google.com/spreadsheets/d/1c0UfJUA6nE6esVMy0kRcX_PENtt96DMxicQpqi3tips/edit?usp=sharing"","""&amp;"รวมตะวันออกเฉียงเหนือ!J680"")+IMPORTRANGE(""https://docs.google.com/spreadsheets/d/1iNWbYmj0agxPDl_yJgGu1eIremFPVMUuMWUKAjBzvrk/edit?usp=sharing"",""รวมกลาง!J680"")+IMPORTRANGE(""https://docs.google.com/spreadsheets/d/1uenpWDAH2bchvfvsSIjpd4bRU5D1faxJOaE3"&amp;"4GQM5-c/edit?usp=sharing"",""รวมใต้!J680"")"),145)</f>
        <v>145</v>
      </c>
      <c r="K678" s="41"/>
      <c r="L678" s="453"/>
      <c r="M678" s="453"/>
      <c r="N678" s="453"/>
      <c r="O678" s="41"/>
      <c r="P678" s="41"/>
      <c r="Q678" s="453"/>
      <c r="R678" s="453"/>
      <c r="S678" s="453"/>
      <c r="T678" s="41"/>
      <c r="U678" s="41"/>
    </row>
    <row r="679" spans="1:21" ht="18.75" x14ac:dyDescent="0.25">
      <c r="A679" s="213"/>
      <c r="B679" s="170"/>
      <c r="C679" s="170"/>
      <c r="D679" s="36"/>
      <c r="E679" s="36"/>
      <c r="F679" s="36"/>
      <c r="G679" s="38"/>
      <c r="H679" s="151" t="s">
        <v>46</v>
      </c>
      <c r="I679" s="452">
        <f ca="1">IFERROR(__xludf.DUMMYFUNCTION("IMPORTRANGE(""https://docs.google.com/spreadsheets/d/12pGRKgvn2b31Uz_fjAl3XPzZUM_F2_O-zAHL2XHEPZg/edit?usp=sharing"",""รวมเหนือ!I681"")+IMPORTRANGE(""https://docs.google.com/spreadsheets/d/1c0UfJUA6nE6esVMy0kRcX_PENtt96DMxicQpqi3tips/edit?usp=sharing"","""&amp;"รวมตะวันออกเฉียงเหนือ!I681"")+IMPORTRANGE(""https://docs.google.com/spreadsheets/d/1iNWbYmj0agxPDl_yJgGu1eIremFPVMUuMWUKAjBzvrk/edit?usp=sharing"",""รวมกลาง!I681"")+IMPORTRANGE(""https://docs.google.com/spreadsheets/d/1uenpWDAH2bchvfvsSIjpd4bRU5D1faxJOaE3"&amp;"4GQM5-c/edit?usp=sharing"",""รวมใต้!I681"")"),1072)</f>
        <v>1072</v>
      </c>
      <c r="J679" s="452">
        <f ca="1">IFERROR(__xludf.DUMMYFUNCTION("IMPORTRANGE(""https://docs.google.com/spreadsheets/d/12pGRKgvn2b31Uz_fjAl3XPzZUM_F2_O-zAHL2XHEPZg/edit?usp=sharing"",""รวมเหนือ!J681"")+IMPORTRANGE(""https://docs.google.com/spreadsheets/d/1c0UfJUA6nE6esVMy0kRcX_PENtt96DMxicQpqi3tips/edit?usp=sharing"","""&amp;"รวมตะวันออกเฉียงเหนือ!J681"")+IMPORTRANGE(""https://docs.google.com/spreadsheets/d/1iNWbYmj0agxPDl_yJgGu1eIremFPVMUuMWUKAjBzvrk/edit?usp=sharing"",""รวมกลาง!J681"")+IMPORTRANGE(""https://docs.google.com/spreadsheets/d/1uenpWDAH2bchvfvsSIjpd4bRU5D1faxJOaE3"&amp;"4GQM5-c/edit?usp=sharing"",""รวมใต้!J681"")"),860.99)</f>
        <v>860.99</v>
      </c>
      <c r="K679" s="42">
        <f t="shared" ref="K679:K680" ca="1" si="444">IF(I679&gt;0,J679*100/I679,0)</f>
        <v>80.316231343283576</v>
      </c>
      <c r="L679" s="453"/>
      <c r="M679" s="453"/>
      <c r="N679" s="453"/>
      <c r="O679" s="41"/>
      <c r="P679" s="41"/>
      <c r="Q679" s="453"/>
      <c r="R679" s="453"/>
      <c r="S679" s="453"/>
      <c r="T679" s="41"/>
      <c r="U679" s="41"/>
    </row>
    <row r="680" spans="1:21" ht="19.5" x14ac:dyDescent="0.3">
      <c r="A680" s="213"/>
      <c r="B680" s="170"/>
      <c r="C680" s="170"/>
      <c r="D680" s="43" t="s">
        <v>261</v>
      </c>
      <c r="E680" s="36"/>
      <c r="F680" s="36"/>
      <c r="G680" s="38"/>
      <c r="H680" s="414" t="s">
        <v>46</v>
      </c>
      <c r="I680" s="454">
        <f ca="1">IFERROR(__xludf.DUMMYFUNCTION("IMPORTRANGE(""https://docs.google.com/spreadsheets/d/12pGRKgvn2b31Uz_fjAl3XPzZUM_F2_O-zAHL2XHEPZg/edit?usp=sharing"",""รวมเหนือ!I682"")+IMPORTRANGE(""https://docs.google.com/spreadsheets/d/1c0UfJUA6nE6esVMy0kRcX_PENtt96DMxicQpqi3tips/edit?usp=sharing"","""&amp;"รวมตะวันออกเฉียงเหนือ!I682"")+IMPORTRANGE(""https://docs.google.com/spreadsheets/d/1iNWbYmj0agxPDl_yJgGu1eIremFPVMUuMWUKAjBzvrk/edit?usp=sharing"",""รวมกลาง!I682"")+IMPORTRANGE(""https://docs.google.com/spreadsheets/d/1uenpWDAH2bchvfvsSIjpd4bRU5D1faxJOaE3"&amp;"4GQM5-c/edit?usp=sharing"",""รวมใต้!I682"")"),1361)</f>
        <v>1361</v>
      </c>
      <c r="J680" s="161">
        <f ca="1">J683+J686</f>
        <v>1494.1000000000001</v>
      </c>
      <c r="K680" s="146">
        <f t="shared" ca="1" si="444"/>
        <v>109.77957384276267</v>
      </c>
      <c r="L680" s="41"/>
      <c r="M680" s="41"/>
      <c r="N680" s="453"/>
      <c r="O680" s="41"/>
      <c r="P680" s="41"/>
      <c r="Q680" s="41"/>
      <c r="R680" s="41"/>
      <c r="S680" s="453"/>
      <c r="T680" s="41"/>
      <c r="U680" s="41"/>
    </row>
    <row r="681" spans="1:21" ht="18.75" x14ac:dyDescent="0.25">
      <c r="A681" s="213"/>
      <c r="B681" s="170"/>
      <c r="C681" s="170"/>
      <c r="D681" s="36"/>
      <c r="E681" s="43" t="s">
        <v>262</v>
      </c>
      <c r="F681" s="36"/>
      <c r="G681" s="38"/>
      <c r="H681" s="151" t="s">
        <v>35</v>
      </c>
      <c r="I681" s="186"/>
      <c r="J681" s="176">
        <f ca="1">IFERROR(__xludf.DUMMYFUNCTION("IMPORTRANGE(""https://docs.google.com/spreadsheets/d/12pGRKgvn2b31Uz_fjAl3XPzZUM_F2_O-zAHL2XHEPZg/edit?usp=sharing"",""รวมเหนือ!J683"")+IMPORTRANGE(""https://docs.google.com/spreadsheets/d/1c0UfJUA6nE6esVMy0kRcX_PENtt96DMxicQpqi3tips/edit?usp=sharing"","""&amp;"รวมตะวันออกเฉียงเหนือ!J683"")+IMPORTRANGE(""https://docs.google.com/spreadsheets/d/1iNWbYmj0agxPDl_yJgGu1eIremFPVMUuMWUKAjBzvrk/edit?usp=sharing"",""รวมกลาง!J683"")+IMPORTRANGE(""https://docs.google.com/spreadsheets/d/1uenpWDAH2bchvfvsSIjpd4bRU5D1faxJOaE3"&amp;"4GQM5-c/edit?usp=sharing"",""รวมใต้!J683"")"),19)</f>
        <v>19</v>
      </c>
      <c r="K681" s="41"/>
      <c r="L681" s="453"/>
      <c r="M681" s="453"/>
      <c r="N681" s="453"/>
      <c r="O681" s="41"/>
      <c r="P681" s="41"/>
      <c r="Q681" s="453"/>
      <c r="R681" s="453"/>
      <c r="S681" s="453"/>
      <c r="T681" s="41"/>
      <c r="U681" s="41"/>
    </row>
    <row r="682" spans="1:21" ht="18.75" x14ac:dyDescent="0.25">
      <c r="A682" s="213"/>
      <c r="B682" s="170"/>
      <c r="C682" s="170"/>
      <c r="D682" s="36"/>
      <c r="E682" s="36"/>
      <c r="F682" s="36"/>
      <c r="G682" s="38"/>
      <c r="H682" s="151" t="s">
        <v>34</v>
      </c>
      <c r="I682" s="186"/>
      <c r="J682" s="176">
        <f ca="1">IFERROR(__xludf.DUMMYFUNCTION("IMPORTRANGE(""https://docs.google.com/spreadsheets/d/12pGRKgvn2b31Uz_fjAl3XPzZUM_F2_O-zAHL2XHEPZg/edit?usp=sharing"",""รวมเหนือ!J684"")+IMPORTRANGE(""https://docs.google.com/spreadsheets/d/1c0UfJUA6nE6esVMy0kRcX_PENtt96DMxicQpqi3tips/edit?usp=sharing"","""&amp;"รวมตะวันออกเฉียงเหนือ!J684"")+IMPORTRANGE(""https://docs.google.com/spreadsheets/d/1iNWbYmj0agxPDl_yJgGu1eIremFPVMUuMWUKAjBzvrk/edit?usp=sharing"",""รวมกลาง!J684"")+IMPORTRANGE(""https://docs.google.com/spreadsheets/d/1uenpWDAH2bchvfvsSIjpd4bRU5D1faxJOaE3"&amp;"4GQM5-c/edit?usp=sharing"",""รวมใต้!J684"")"),15)</f>
        <v>15</v>
      </c>
      <c r="K682" s="41"/>
      <c r="L682" s="453"/>
      <c r="M682" s="453"/>
      <c r="N682" s="453"/>
      <c r="O682" s="41"/>
      <c r="P682" s="41"/>
      <c r="Q682" s="453"/>
      <c r="R682" s="453"/>
      <c r="S682" s="453"/>
      <c r="T682" s="41"/>
      <c r="U682" s="41"/>
    </row>
    <row r="683" spans="1:21" ht="18.75" x14ac:dyDescent="0.25">
      <c r="A683" s="213"/>
      <c r="B683" s="170"/>
      <c r="C683" s="170"/>
      <c r="D683" s="36"/>
      <c r="E683" s="36"/>
      <c r="F683" s="36"/>
      <c r="G683" s="38"/>
      <c r="H683" s="151" t="s">
        <v>46</v>
      </c>
      <c r="I683" s="186"/>
      <c r="J683" s="176">
        <f ca="1">IFERROR(__xludf.DUMMYFUNCTION("IMPORTRANGE(""https://docs.google.com/spreadsheets/d/12pGRKgvn2b31Uz_fjAl3XPzZUM_F2_O-zAHL2XHEPZg/edit?usp=sharing"",""รวมเหนือ!J685"")+IMPORTRANGE(""https://docs.google.com/spreadsheets/d/1c0UfJUA6nE6esVMy0kRcX_PENtt96DMxicQpqi3tips/edit?usp=sharing"","""&amp;"รวมตะวันออกเฉียงเหนือ!J685"")+IMPORTRANGE(""https://docs.google.com/spreadsheets/d/1iNWbYmj0agxPDl_yJgGu1eIremFPVMUuMWUKAjBzvrk/edit?usp=sharing"",""รวมกลาง!J685"")+IMPORTRANGE(""https://docs.google.com/spreadsheets/d/1uenpWDAH2bchvfvsSIjpd4bRU5D1faxJOaE3"&amp;"4GQM5-c/edit?usp=sharing"",""รวมใต้!J685"")"),214.95)</f>
        <v>214.95</v>
      </c>
      <c r="K683" s="41"/>
      <c r="L683" s="453"/>
      <c r="M683" s="453"/>
      <c r="N683" s="453"/>
      <c r="O683" s="41"/>
      <c r="P683" s="41"/>
      <c r="Q683" s="453"/>
      <c r="R683" s="453"/>
      <c r="S683" s="453"/>
      <c r="T683" s="41"/>
      <c r="U683" s="41"/>
    </row>
    <row r="684" spans="1:21" ht="18.75" x14ac:dyDescent="0.25">
      <c r="A684" s="213"/>
      <c r="B684" s="170"/>
      <c r="C684" s="170"/>
      <c r="D684" s="36"/>
      <c r="E684" s="43" t="s">
        <v>263</v>
      </c>
      <c r="F684" s="36"/>
      <c r="G684" s="38"/>
      <c r="H684" s="151" t="s">
        <v>35</v>
      </c>
      <c r="I684" s="186"/>
      <c r="J684" s="176">
        <f ca="1">IFERROR(__xludf.DUMMYFUNCTION("IMPORTRANGE(""https://docs.google.com/spreadsheets/d/12pGRKgvn2b31Uz_fjAl3XPzZUM_F2_O-zAHL2XHEPZg/edit?usp=sharing"",""รวมเหนือ!J686"")+IMPORTRANGE(""https://docs.google.com/spreadsheets/d/1c0UfJUA6nE6esVMy0kRcX_PENtt96DMxicQpqi3tips/edit?usp=sharing"","""&amp;"รวมตะวันออกเฉียงเหนือ!J686"")+IMPORTRANGE(""https://docs.google.com/spreadsheets/d/1iNWbYmj0agxPDl_yJgGu1eIremFPVMUuMWUKAjBzvrk/edit?usp=sharing"",""รวมกลาง!J686"")+IMPORTRANGE(""https://docs.google.com/spreadsheets/d/1uenpWDAH2bchvfvsSIjpd4bRU5D1faxJOaE3"&amp;"4GQM5-c/edit?usp=sharing"",""รวมใต้!J686"")"),143)</f>
        <v>143</v>
      </c>
      <c r="K684" s="41"/>
      <c r="L684" s="453"/>
      <c r="M684" s="453"/>
      <c r="N684" s="453"/>
      <c r="O684" s="41"/>
      <c r="P684" s="41"/>
      <c r="Q684" s="453"/>
      <c r="R684" s="453"/>
      <c r="S684" s="453"/>
      <c r="T684" s="41"/>
      <c r="U684" s="41"/>
    </row>
    <row r="685" spans="1:21" ht="18.75" x14ac:dyDescent="0.25">
      <c r="A685" s="213"/>
      <c r="B685" s="170"/>
      <c r="C685" s="170"/>
      <c r="D685" s="36"/>
      <c r="E685" s="36"/>
      <c r="F685" s="36"/>
      <c r="G685" s="38"/>
      <c r="H685" s="151" t="s">
        <v>34</v>
      </c>
      <c r="I685" s="186"/>
      <c r="J685" s="176">
        <f ca="1">IFERROR(__xludf.DUMMYFUNCTION("IMPORTRANGE(""https://docs.google.com/spreadsheets/d/12pGRKgvn2b31Uz_fjAl3XPzZUM_F2_O-zAHL2XHEPZg/edit?usp=sharing"",""รวมเหนือ!J687"")+IMPORTRANGE(""https://docs.google.com/spreadsheets/d/1c0UfJUA6nE6esVMy0kRcX_PENtt96DMxicQpqi3tips/edit?usp=sharing"","""&amp;"รวมตะวันออกเฉียงเหนือ!J687"")+IMPORTRANGE(""https://docs.google.com/spreadsheets/d/1iNWbYmj0agxPDl_yJgGu1eIremFPVMUuMWUKAjBzvrk/edit?usp=sharing"",""รวมกลาง!J687"")+IMPORTRANGE(""https://docs.google.com/spreadsheets/d/1uenpWDAH2bchvfvsSIjpd4bRU5D1faxJOaE3"&amp;"4GQM5-c/edit?usp=sharing"",""รวมใต้!J687"")"),100)</f>
        <v>100</v>
      </c>
      <c r="K685" s="41"/>
      <c r="L685" s="453"/>
      <c r="M685" s="453"/>
      <c r="N685" s="453"/>
      <c r="O685" s="41"/>
      <c r="P685" s="41"/>
      <c r="Q685" s="453"/>
      <c r="R685" s="453"/>
      <c r="S685" s="453"/>
      <c r="T685" s="41"/>
      <c r="U685" s="41"/>
    </row>
    <row r="686" spans="1:21" ht="19.5" x14ac:dyDescent="0.3">
      <c r="A686" s="256"/>
      <c r="B686" s="455" t="s">
        <v>264</v>
      </c>
      <c r="C686" s="257"/>
      <c r="D686" s="259"/>
      <c r="E686" s="259"/>
      <c r="F686" s="259"/>
      <c r="G686" s="260"/>
      <c r="H686" s="192" t="s">
        <v>46</v>
      </c>
      <c r="I686" s="356"/>
      <c r="J686" s="193">
        <f ca="1">IFERROR(__xludf.DUMMYFUNCTION("IMPORTRANGE(""https://docs.google.com/spreadsheets/d/12pGRKgvn2b31Uz_fjAl3XPzZUM_F2_O-zAHL2XHEPZg/edit?usp=sharing"",""รวมเหนือ!J688"")+IMPORTRANGE(""https://docs.google.com/spreadsheets/d/1c0UfJUA6nE6esVMy0kRcX_PENtt96DMxicQpqi3tips/edit?usp=sharing"","""&amp;"รวมตะวันออกเฉียงเหนือ!J688"")+IMPORTRANGE(""https://docs.google.com/spreadsheets/d/1iNWbYmj0agxPDl_yJgGu1eIremFPVMUuMWUKAjBzvrk/edit?usp=sharing"",""รวมกลาง!J688"")+IMPORTRANGE(""https://docs.google.com/spreadsheets/d/1uenpWDAH2bchvfvsSIjpd4bRU5D1faxJOaE3"&amp;"4GQM5-c/edit?usp=sharing"",""รวมใต้!J688"")"),1279.15)</f>
        <v>1279.1500000000001</v>
      </c>
      <c r="K686" s="52"/>
      <c r="L686" s="456"/>
      <c r="M686" s="456"/>
      <c r="N686" s="456"/>
      <c r="O686" s="52"/>
      <c r="P686" s="52"/>
      <c r="Q686" s="456"/>
      <c r="R686" s="456"/>
      <c r="S686" s="456"/>
      <c r="T686" s="52"/>
      <c r="U686" s="52"/>
    </row>
    <row r="687" spans="1:21" ht="19.5" x14ac:dyDescent="0.3">
      <c r="A687" s="431"/>
      <c r="B687" s="432" t="s">
        <v>265</v>
      </c>
      <c r="C687" s="433"/>
      <c r="D687" s="434"/>
      <c r="E687" s="434"/>
      <c r="F687" s="434"/>
      <c r="G687" s="435"/>
      <c r="H687" s="457" t="s">
        <v>35</v>
      </c>
      <c r="I687" s="458">
        <f>I702</f>
        <v>7550</v>
      </c>
      <c r="J687" s="458">
        <f>J702</f>
        <v>8094</v>
      </c>
      <c r="K687" s="459">
        <f>IF(I687&gt;0,J687*100/I687,0)</f>
        <v>107.20529801324503</v>
      </c>
      <c r="L687" s="438"/>
      <c r="M687" s="438"/>
      <c r="N687" s="438"/>
      <c r="O687" s="438"/>
      <c r="P687" s="438"/>
      <c r="Q687" s="438"/>
      <c r="R687" s="438"/>
      <c r="S687" s="438"/>
      <c r="T687" s="438"/>
      <c r="U687" s="438"/>
    </row>
    <row r="688" spans="1:21" ht="19.5" x14ac:dyDescent="0.3">
      <c r="A688" s="142"/>
      <c r="B688" s="170"/>
      <c r="C688" s="143" t="s">
        <v>18</v>
      </c>
      <c r="D688" s="538" t="s">
        <v>19</v>
      </c>
      <c r="E688" s="535"/>
      <c r="F688" s="535"/>
      <c r="G688" s="536"/>
      <c r="H688" s="227" t="s">
        <v>14</v>
      </c>
      <c r="I688" s="40"/>
      <c r="J688" s="40"/>
      <c r="K688" s="41"/>
      <c r="L688" s="146">
        <f t="shared" ref="L688:N688" ca="1" si="445">L689+L690</f>
        <v>0</v>
      </c>
      <c r="M688" s="146">
        <f t="shared" ca="1" si="445"/>
        <v>0</v>
      </c>
      <c r="N688" s="146">
        <f t="shared" ca="1" si="445"/>
        <v>0</v>
      </c>
      <c r="O688" s="146">
        <f t="shared" ref="O688:O696" ca="1" si="446">IF(L688&gt;0,N688*100/L688,0)</f>
        <v>0</v>
      </c>
      <c r="P688" s="146">
        <f t="shared" ref="P688:P696" ca="1" si="447">IF(M688&gt;0,N688*100/M688,0)</f>
        <v>0</v>
      </c>
      <c r="Q688" s="146">
        <f t="shared" ref="Q688:S688" ca="1" si="448">Q689+Q690</f>
        <v>15416500</v>
      </c>
      <c r="R688" s="146">
        <f t="shared" ca="1" si="448"/>
        <v>15416500</v>
      </c>
      <c r="S688" s="146">
        <f t="shared" ca="1" si="448"/>
        <v>12366280.1199999</v>
      </c>
      <c r="T688" s="146">
        <f t="shared" ref="T688:T696" ca="1" si="449">IF(Q688&gt;0,S688*100/Q688,0)</f>
        <v>80.214576071092011</v>
      </c>
      <c r="U688" s="146">
        <f t="shared" ref="U688:U696" ca="1" si="450">IF(R688&gt;0,S688*100/R688,0)</f>
        <v>80.214576071092011</v>
      </c>
    </row>
    <row r="689" spans="1:21" ht="18.75" x14ac:dyDescent="0.25">
      <c r="A689" s="142"/>
      <c r="B689" s="170"/>
      <c r="C689" s="170"/>
      <c r="D689" s="159"/>
      <c r="E689" s="43" t="s">
        <v>165</v>
      </c>
      <c r="F689" s="36"/>
      <c r="G689" s="38"/>
      <c r="H689" s="148" t="s">
        <v>14</v>
      </c>
      <c r="I689" s="40"/>
      <c r="J689" s="40"/>
      <c r="K689" s="41"/>
      <c r="L689" s="42">
        <f t="shared" ref="L689:N689" ca="1" si="451">L692+L695</f>
        <v>0</v>
      </c>
      <c r="M689" s="42">
        <f t="shared" ca="1" si="451"/>
        <v>0</v>
      </c>
      <c r="N689" s="42">
        <f t="shared" ca="1" si="451"/>
        <v>0</v>
      </c>
      <c r="O689" s="42">
        <f t="shared" ca="1" si="446"/>
        <v>0</v>
      </c>
      <c r="P689" s="42">
        <f t="shared" ca="1" si="447"/>
        <v>0</v>
      </c>
      <c r="Q689" s="42">
        <f ca="1">IFERROR(__xludf.DUMMYFUNCTION("IMPORTRANGE(""https://docs.google.com/spreadsheets/d/1ItG2mGa2ceCfYo0BwxsXqNm01IGEUdYcSSLTEv9YCik/edit?usp=sharing"",""เบิกจ่ายกองทุน!L11"")"),1570110)</f>
        <v>1570110</v>
      </c>
      <c r="R689" s="42">
        <f ca="1">IFERROR(__xludf.DUMMYFUNCTION("IMPORTRANGE(""https://docs.google.com/spreadsheets/d/1ItG2mGa2ceCfYo0BwxsXqNm01IGEUdYcSSLTEv9YCik/edit?usp=sharing"",""เบิกจ่ายกองทุน!M11"")"),1540110)</f>
        <v>1540110</v>
      </c>
      <c r="S689" s="42">
        <f ca="1">IFERROR(__xludf.DUMMYFUNCTION("IMPORTRANGE(""https://docs.google.com/spreadsheets/d/1ItG2mGa2ceCfYo0BwxsXqNm01IGEUdYcSSLTEv9YCik/edit?usp=sharing"",""เบิกจ่ายกองทุน!N11"")"),894611.56)</f>
        <v>894611.56</v>
      </c>
      <c r="T689" s="42">
        <f t="shared" ca="1" si="449"/>
        <v>56.977635961811593</v>
      </c>
      <c r="U689" s="42">
        <f t="shared" ca="1" si="450"/>
        <v>58.087510632357429</v>
      </c>
    </row>
    <row r="690" spans="1:21" ht="18.75" x14ac:dyDescent="0.25">
      <c r="A690" s="142"/>
      <c r="B690" s="170"/>
      <c r="C690" s="170"/>
      <c r="D690" s="159"/>
      <c r="E690" s="43" t="s">
        <v>166</v>
      </c>
      <c r="F690" s="36"/>
      <c r="G690" s="38"/>
      <c r="H690" s="148" t="s">
        <v>14</v>
      </c>
      <c r="I690" s="40"/>
      <c r="J690" s="40"/>
      <c r="K690" s="41"/>
      <c r="L690" s="42">
        <f t="shared" ref="L690:N690" ca="1" si="452">L693+L696</f>
        <v>0</v>
      </c>
      <c r="M690" s="42">
        <f t="shared" ca="1" si="452"/>
        <v>0</v>
      </c>
      <c r="N690" s="42">
        <f t="shared" ca="1" si="452"/>
        <v>0</v>
      </c>
      <c r="O690" s="42">
        <f t="shared" ca="1" si="446"/>
        <v>0</v>
      </c>
      <c r="P690" s="42">
        <f t="shared" ca="1" si="447"/>
        <v>0</v>
      </c>
      <c r="Q690" s="42">
        <f ca="1">IFERROR(__xludf.DUMMYFUNCTION("IMPORTRANGE(""https://docs.google.com/spreadsheets/d/12pGRKgvn2b31Uz_fjAl3XPzZUM_F2_O-zAHL2XHEPZg/edit?usp=sharing"",""รวมเหนือ!Q695"")+IMPORTRANGE(""https://docs.google.com/spreadsheets/d/1c0UfJUA6nE6esVMy0kRcX_PENtt96DMxicQpqi3tips/edit?usp=sharing"","""&amp;"รวมตะวันออกเฉียงเหนือ!Q695"")+IMPORTRANGE(""https://docs.google.com/spreadsheets/d/1iNWbYmj0agxPDl_yJgGu1eIremFPVMUuMWUKAjBzvrk/edit?usp=sharing"",""รวมกลาง!Q695"")+IMPORTRANGE(""https://docs.google.com/spreadsheets/d/1uenpWDAH2bchvfvsSIjpd4bRU5D1faxJOaE3"&amp;"4GQM5-c/edit?usp=sharing"",""รวมใต้!Q695"")"),13846390)</f>
        <v>13846390</v>
      </c>
      <c r="R690" s="42">
        <f ca="1">IFERROR(__xludf.DUMMYFUNCTION("IMPORTRANGE(""https://docs.google.com/spreadsheets/d/12pGRKgvn2b31Uz_fjAl3XPzZUM_F2_O-zAHL2XHEPZg/edit?usp=sharing"",""รวมเหนือ!R695"")+IMPORTRANGE(""https://docs.google.com/spreadsheets/d/1c0UfJUA6nE6esVMy0kRcX_PENtt96DMxicQpqi3tips/edit?usp=sharing"","""&amp;"รวมตะวันออกเฉียงเหนือ!R695"")+IMPORTRANGE(""https://docs.google.com/spreadsheets/d/1iNWbYmj0agxPDl_yJgGu1eIremFPVMUuMWUKAjBzvrk/edit?usp=sharing"",""รวมกลาง!R695"")+IMPORTRANGE(""https://docs.google.com/spreadsheets/d/1uenpWDAH2bchvfvsSIjpd4bRU5D1faxJOaE3"&amp;"4GQM5-c/edit?usp=sharing"",""รวมใต้!R695"")"),13876390)</f>
        <v>13876390</v>
      </c>
      <c r="S690" s="42">
        <f ca="1">IFERROR(__xludf.DUMMYFUNCTION("IMPORTRANGE(""https://docs.google.com/spreadsheets/d/12pGRKgvn2b31Uz_fjAl3XPzZUM_F2_O-zAHL2XHEPZg/edit?usp=sharing"",""รวมเหนือ!S695"")+IMPORTRANGE(""https://docs.google.com/spreadsheets/d/1c0UfJUA6nE6esVMy0kRcX_PENtt96DMxicQpqi3tips/edit?usp=sharing"","""&amp;"รวมตะวันออกเฉียงเหนือ!S695"")+IMPORTRANGE(""https://docs.google.com/spreadsheets/d/1iNWbYmj0agxPDl_yJgGu1eIremFPVMUuMWUKAjBzvrk/edit?usp=sharing"",""รวมกลาง!S695"")+IMPORTRANGE(""https://docs.google.com/spreadsheets/d/1uenpWDAH2bchvfvsSIjpd4bRU5D1faxJOaE3"&amp;"4GQM5-c/edit?usp=sharing"",""รวมใต้!S695"")"),11471668.5599999)</f>
        <v>11471668.5599999</v>
      </c>
      <c r="T690" s="42">
        <f t="shared" ca="1" si="449"/>
        <v>82.849526555296364</v>
      </c>
      <c r="U690" s="42">
        <f t="shared" ca="1" si="450"/>
        <v>82.670410387715393</v>
      </c>
    </row>
    <row r="691" spans="1:21" ht="18.75" x14ac:dyDescent="0.25">
      <c r="A691" s="142"/>
      <c r="B691" s="170"/>
      <c r="C691" s="170"/>
      <c r="D691" s="37" t="s">
        <v>22</v>
      </c>
      <c r="E691" s="36"/>
      <c r="F691" s="36"/>
      <c r="G691" s="38"/>
      <c r="H691" s="148" t="s">
        <v>14</v>
      </c>
      <c r="I691" s="149"/>
      <c r="J691" s="149"/>
      <c r="K691" s="150"/>
      <c r="L691" s="42">
        <f t="shared" ref="L691:N691" ca="1" si="453">L692+L693</f>
        <v>0</v>
      </c>
      <c r="M691" s="42">
        <f t="shared" ca="1" si="453"/>
        <v>0</v>
      </c>
      <c r="N691" s="42">
        <f t="shared" ca="1" si="453"/>
        <v>0</v>
      </c>
      <c r="O691" s="42">
        <f t="shared" ca="1" si="446"/>
        <v>0</v>
      </c>
      <c r="P691" s="42">
        <f t="shared" ca="1" si="447"/>
        <v>0</v>
      </c>
      <c r="Q691" s="42">
        <f t="shared" ref="Q691:S691" si="454">Q692+Q693</f>
        <v>0</v>
      </c>
      <c r="R691" s="42">
        <f t="shared" si="454"/>
        <v>0</v>
      </c>
      <c r="S691" s="42">
        <f t="shared" si="454"/>
        <v>0</v>
      </c>
      <c r="T691" s="42">
        <f t="shared" si="449"/>
        <v>0</v>
      </c>
      <c r="U691" s="42">
        <f t="shared" si="450"/>
        <v>0</v>
      </c>
    </row>
    <row r="692" spans="1:21" ht="18.75" x14ac:dyDescent="0.25">
      <c r="A692" s="142"/>
      <c r="B692" s="170"/>
      <c r="C692" s="170"/>
      <c r="D692" s="159"/>
      <c r="E692" s="43" t="s">
        <v>165</v>
      </c>
      <c r="F692" s="36"/>
      <c r="G692" s="38"/>
      <c r="H692" s="148" t="s">
        <v>14</v>
      </c>
      <c r="I692" s="40"/>
      <c r="J692" s="40"/>
      <c r="K692" s="41"/>
      <c r="L692" s="42">
        <f ca="1">IFERROR(__xludf.DUMMYFUNCTION("IMPORTRANGE(""https://docs.google.com/spreadsheets/d/12pGRKgvn2b31Uz_fjAl3XPzZUM_F2_O-zAHL2XHEPZg/edit?usp=sharing"",""รวมเหนือ!L694"")+IMPORTRANGE(""https://docs.google.com/spreadsheets/d/1c0UfJUA6nE6esVMy0kRcX_PENtt96DMxicQpqi3tips/edit?usp=sharing"","""&amp;"รวมตะวันออกเฉียงเหนือ!L694"")+IMPORTRANGE(""https://docs.google.com/spreadsheets/d/1iNWbYmj0agxPDl_yJgGu1eIremFPVMUuMWUKAjBzvrk/edit?usp=sharing"",""รวมกลาง!L694"")+IMPORTRANGE(""https://docs.google.com/spreadsheets/d/1uenpWDAH2bchvfvsSIjpd4bRU5D1faxJOaE3"&amp;"4GQM5-c/edit?usp=sharing"",""รวมใต้!L694"")"),0)</f>
        <v>0</v>
      </c>
      <c r="M692" s="42">
        <f ca="1">IFERROR(__xludf.DUMMYFUNCTION("IMPORTRANGE(""https://docs.google.com/spreadsheets/d/12pGRKgvn2b31Uz_fjAl3XPzZUM_F2_O-zAHL2XHEPZg/edit?usp=sharing"",""รวมเหนือ!M694"")+IMPORTRANGE(""https://docs.google.com/spreadsheets/d/1c0UfJUA6nE6esVMy0kRcX_PENtt96DMxicQpqi3tips/edit?usp=sharing"","""&amp;"รวมตะวันออกเฉียงเหนือ!M694"")+IMPORTRANGE(""https://docs.google.com/spreadsheets/d/1iNWbYmj0agxPDl_yJgGu1eIremFPVMUuMWUKAjBzvrk/edit?usp=sharing"",""รวมกลาง!M694"")+IMPORTRANGE(""https://docs.google.com/spreadsheets/d/1uenpWDAH2bchvfvsSIjpd4bRU5D1faxJOaE3"&amp;"4GQM5-c/edit?usp=sharing"",""รวมใต้!M694"")"),0)</f>
        <v>0</v>
      </c>
      <c r="N692" s="42">
        <f ca="1">IFERROR(__xludf.DUMMYFUNCTION("IMPORTRANGE(""https://docs.google.com/spreadsheets/d/12pGRKgvn2b31Uz_fjAl3XPzZUM_F2_O-zAHL2XHEPZg/edit?usp=sharing"",""รวมเหนือ!N694"")+IMPORTRANGE(""https://docs.google.com/spreadsheets/d/1c0UfJUA6nE6esVMy0kRcX_PENtt96DMxicQpqi3tips/edit?usp=sharing"","""&amp;"รวมตะวันออกเฉียงเหนือ!N694"")+IMPORTRANGE(""https://docs.google.com/spreadsheets/d/1iNWbYmj0agxPDl_yJgGu1eIremFPVMUuMWUKAjBzvrk/edit?usp=sharing"",""รวมกลาง!N694"")+IMPORTRANGE(""https://docs.google.com/spreadsheets/d/1uenpWDAH2bchvfvsSIjpd4bRU5D1faxJOaE3"&amp;"4GQM5-c/edit?usp=sharing"",""รวมใต้!N694"")"),0)</f>
        <v>0</v>
      </c>
      <c r="O692" s="42">
        <f t="shared" ca="1" si="446"/>
        <v>0</v>
      </c>
      <c r="P692" s="42">
        <f t="shared" ca="1" si="447"/>
        <v>0</v>
      </c>
      <c r="Q692" s="42">
        <v>0</v>
      </c>
      <c r="R692" s="42">
        <v>0</v>
      </c>
      <c r="S692" s="42">
        <v>0</v>
      </c>
      <c r="T692" s="42">
        <f t="shared" si="449"/>
        <v>0</v>
      </c>
      <c r="U692" s="42">
        <f t="shared" si="450"/>
        <v>0</v>
      </c>
    </row>
    <row r="693" spans="1:21" ht="18.75" x14ac:dyDescent="0.25">
      <c r="A693" s="142"/>
      <c r="B693" s="170"/>
      <c r="C693" s="170"/>
      <c r="D693" s="159"/>
      <c r="E693" s="43" t="s">
        <v>166</v>
      </c>
      <c r="F693" s="36"/>
      <c r="G693" s="38"/>
      <c r="H693" s="148" t="s">
        <v>14</v>
      </c>
      <c r="I693" s="40"/>
      <c r="J693" s="40"/>
      <c r="K693" s="41"/>
      <c r="L693" s="42">
        <f ca="1">IFERROR(__xludf.DUMMYFUNCTION("IMPORTRANGE(""https://docs.google.com/spreadsheets/d/12pGRKgvn2b31Uz_fjAl3XPzZUM_F2_O-zAHL2XHEPZg/edit?usp=sharing"",""รวมเหนือ!L695"")+IMPORTRANGE(""https://docs.google.com/spreadsheets/d/1c0UfJUA6nE6esVMy0kRcX_PENtt96DMxicQpqi3tips/edit?usp=sharing"","""&amp;"รวมตะวันออกเฉียงเหนือ!L695"")+IMPORTRANGE(""https://docs.google.com/spreadsheets/d/1iNWbYmj0agxPDl_yJgGu1eIremFPVMUuMWUKAjBzvrk/edit?usp=sharing"",""รวมกลาง!L695"")+IMPORTRANGE(""https://docs.google.com/spreadsheets/d/1uenpWDAH2bchvfvsSIjpd4bRU5D1faxJOaE3"&amp;"4GQM5-c/edit?usp=sharing"",""รวมใต้!L695"")"),0)</f>
        <v>0</v>
      </c>
      <c r="M693" s="42">
        <f ca="1">IFERROR(__xludf.DUMMYFUNCTION("IMPORTRANGE(""https://docs.google.com/spreadsheets/d/12pGRKgvn2b31Uz_fjAl3XPzZUM_F2_O-zAHL2XHEPZg/edit?usp=sharing"",""รวมเหนือ!M695"")+IMPORTRANGE(""https://docs.google.com/spreadsheets/d/1c0UfJUA6nE6esVMy0kRcX_PENtt96DMxicQpqi3tips/edit?usp=sharing"","""&amp;"รวมตะวันออกเฉียงเหนือ!M695"")+IMPORTRANGE(""https://docs.google.com/spreadsheets/d/1iNWbYmj0agxPDl_yJgGu1eIremFPVMUuMWUKAjBzvrk/edit?usp=sharing"",""รวมกลาง!M695"")+IMPORTRANGE(""https://docs.google.com/spreadsheets/d/1uenpWDAH2bchvfvsSIjpd4bRU5D1faxJOaE3"&amp;"4GQM5-c/edit?usp=sharing"",""รวมใต้!M695"")"),0)</f>
        <v>0</v>
      </c>
      <c r="N693" s="42">
        <f ca="1">IFERROR(__xludf.DUMMYFUNCTION("IMPORTRANGE(""https://docs.google.com/spreadsheets/d/12pGRKgvn2b31Uz_fjAl3XPzZUM_F2_O-zAHL2XHEPZg/edit?usp=sharing"",""รวมเหนือ!N695"")+IMPORTRANGE(""https://docs.google.com/spreadsheets/d/1c0UfJUA6nE6esVMy0kRcX_PENtt96DMxicQpqi3tips/edit?usp=sharing"","""&amp;"รวมตะวันออกเฉียงเหนือ!N695"")+IMPORTRANGE(""https://docs.google.com/spreadsheets/d/1iNWbYmj0agxPDl_yJgGu1eIremFPVMUuMWUKAjBzvrk/edit?usp=sharing"",""รวมกลาง!N695"")+IMPORTRANGE(""https://docs.google.com/spreadsheets/d/1uenpWDAH2bchvfvsSIjpd4bRU5D1faxJOaE3"&amp;"4GQM5-c/edit?usp=sharing"",""รวมใต้!N695"")"),0)</f>
        <v>0</v>
      </c>
      <c r="O693" s="42">
        <f t="shared" ca="1" si="446"/>
        <v>0</v>
      </c>
      <c r="P693" s="42">
        <f t="shared" ca="1" si="447"/>
        <v>0</v>
      </c>
      <c r="Q693" s="42">
        <v>0</v>
      </c>
      <c r="R693" s="42">
        <v>0</v>
      </c>
      <c r="S693" s="42">
        <v>0</v>
      </c>
      <c r="T693" s="42">
        <f t="shared" si="449"/>
        <v>0</v>
      </c>
      <c r="U693" s="42">
        <f t="shared" si="450"/>
        <v>0</v>
      </c>
    </row>
    <row r="694" spans="1:21" ht="18.75" x14ac:dyDescent="0.25">
      <c r="A694" s="142"/>
      <c r="B694" s="170"/>
      <c r="C694" s="170"/>
      <c r="D694" s="37" t="s">
        <v>23</v>
      </c>
      <c r="E694" s="36"/>
      <c r="F694" s="36"/>
      <c r="G694" s="38"/>
      <c r="H694" s="151" t="s">
        <v>14</v>
      </c>
      <c r="I694" s="149"/>
      <c r="J694" s="149"/>
      <c r="K694" s="150"/>
      <c r="L694" s="42">
        <f t="shared" ref="L694:N694" ca="1" si="455">L695+L696</f>
        <v>0</v>
      </c>
      <c r="M694" s="42">
        <f t="shared" ca="1" si="455"/>
        <v>0</v>
      </c>
      <c r="N694" s="42">
        <f t="shared" ca="1" si="455"/>
        <v>0</v>
      </c>
      <c r="O694" s="42">
        <f t="shared" ca="1" si="446"/>
        <v>0</v>
      </c>
      <c r="P694" s="42">
        <f t="shared" ca="1" si="447"/>
        <v>0</v>
      </c>
      <c r="Q694" s="42">
        <f t="shared" ref="Q694:S694" ca="1" si="456">Q695+Q696</f>
        <v>0</v>
      </c>
      <c r="R694" s="42">
        <f t="shared" ca="1" si="456"/>
        <v>0</v>
      </c>
      <c r="S694" s="42">
        <f t="shared" ca="1" si="456"/>
        <v>0</v>
      </c>
      <c r="T694" s="42">
        <f t="shared" ca="1" si="449"/>
        <v>0</v>
      </c>
      <c r="U694" s="42">
        <f t="shared" ca="1" si="450"/>
        <v>0</v>
      </c>
    </row>
    <row r="695" spans="1:21" ht="18.75" x14ac:dyDescent="0.25">
      <c r="A695" s="142"/>
      <c r="B695" s="170"/>
      <c r="C695" s="170"/>
      <c r="D695" s="36"/>
      <c r="E695" s="43" t="s">
        <v>20</v>
      </c>
      <c r="F695" s="36"/>
      <c r="G695" s="38"/>
      <c r="H695" s="148" t="s">
        <v>14</v>
      </c>
      <c r="I695" s="149"/>
      <c r="J695" s="149"/>
      <c r="K695" s="150"/>
      <c r="L695" s="42">
        <f ca="1">IFERROR(__xludf.DUMMYFUNCTION("IMPORTRANGE(""https://docs.google.com/spreadsheets/d/12pGRKgvn2b31Uz_fjAl3XPzZUM_F2_O-zAHL2XHEPZg/edit?usp=sharing"",""รวมเหนือ!L697"")+IMPORTRANGE(""https://docs.google.com/spreadsheets/d/1c0UfJUA6nE6esVMy0kRcX_PENtt96DMxicQpqi3tips/edit?usp=sharing"","""&amp;"รวมตะวันออกเฉียงเหนือ!L697"")+IMPORTRANGE(""https://docs.google.com/spreadsheets/d/1iNWbYmj0agxPDl_yJgGu1eIremFPVMUuMWUKAjBzvrk/edit?usp=sharing"",""รวมกลาง!L697"")+IMPORTRANGE(""https://docs.google.com/spreadsheets/d/1uenpWDAH2bchvfvsSIjpd4bRU5D1faxJOaE3"&amp;"4GQM5-c/edit?usp=sharing"",""รวมใต้!L697"")"),0)</f>
        <v>0</v>
      </c>
      <c r="M695" s="42">
        <f ca="1">IFERROR(__xludf.DUMMYFUNCTION("IMPORTRANGE(""https://docs.google.com/spreadsheets/d/12pGRKgvn2b31Uz_fjAl3XPzZUM_F2_O-zAHL2XHEPZg/edit?usp=sharing"",""รวมเหนือ!M697"")+IMPORTRANGE(""https://docs.google.com/spreadsheets/d/1c0UfJUA6nE6esVMy0kRcX_PENtt96DMxicQpqi3tips/edit?usp=sharing"","""&amp;"รวมตะวันออกเฉียงเหนือ!M697"")+IMPORTRANGE(""https://docs.google.com/spreadsheets/d/1iNWbYmj0agxPDl_yJgGu1eIremFPVMUuMWUKAjBzvrk/edit?usp=sharing"",""รวมกลาง!M697"")+IMPORTRANGE(""https://docs.google.com/spreadsheets/d/1uenpWDAH2bchvfvsSIjpd4bRU5D1faxJOaE3"&amp;"4GQM5-c/edit?usp=sharing"",""รวมใต้!M697"")"),0)</f>
        <v>0</v>
      </c>
      <c r="N695" s="42">
        <f ca="1">IFERROR(__xludf.DUMMYFUNCTION("IMPORTRANGE(""https://docs.google.com/spreadsheets/d/12pGRKgvn2b31Uz_fjAl3XPzZUM_F2_O-zAHL2XHEPZg/edit?usp=sharing"",""รวมเหนือ!N697"")+IMPORTRANGE(""https://docs.google.com/spreadsheets/d/1c0UfJUA6nE6esVMy0kRcX_PENtt96DMxicQpqi3tips/edit?usp=sharing"","""&amp;"รวมตะวันออกเฉียงเหนือ!N697"")+IMPORTRANGE(""https://docs.google.com/spreadsheets/d/1iNWbYmj0agxPDl_yJgGu1eIremFPVMUuMWUKAjBzvrk/edit?usp=sharing"",""รวมกลาง!N697"")+IMPORTRANGE(""https://docs.google.com/spreadsheets/d/1uenpWDAH2bchvfvsSIjpd4bRU5D1faxJOaE3"&amp;"4GQM5-c/edit?usp=sharing"",""รวมใต้!N697"")"),0)</f>
        <v>0</v>
      </c>
      <c r="O695" s="42">
        <f t="shared" ca="1" si="446"/>
        <v>0</v>
      </c>
      <c r="P695" s="42">
        <f t="shared" ca="1" si="447"/>
        <v>0</v>
      </c>
      <c r="Q695" s="42">
        <v>0</v>
      </c>
      <c r="R695" s="42">
        <v>0</v>
      </c>
      <c r="S695" s="42">
        <v>0</v>
      </c>
      <c r="T695" s="42">
        <f t="shared" si="449"/>
        <v>0</v>
      </c>
      <c r="U695" s="42">
        <f t="shared" si="450"/>
        <v>0</v>
      </c>
    </row>
    <row r="696" spans="1:21" ht="18.75" x14ac:dyDescent="0.25">
      <c r="A696" s="142"/>
      <c r="B696" s="170"/>
      <c r="C696" s="170"/>
      <c r="D696" s="36"/>
      <c r="E696" s="43" t="s">
        <v>21</v>
      </c>
      <c r="F696" s="36"/>
      <c r="G696" s="38"/>
      <c r="H696" s="151" t="s">
        <v>14</v>
      </c>
      <c r="I696" s="149"/>
      <c r="J696" s="149"/>
      <c r="K696" s="150"/>
      <c r="L696" s="42">
        <f ca="1">IFERROR(__xludf.DUMMYFUNCTION("IMPORTRANGE(""https://docs.google.com/spreadsheets/d/12pGRKgvn2b31Uz_fjAl3XPzZUM_F2_O-zAHL2XHEPZg/edit?usp=sharing"",""รวมเหนือ!L698"")+IMPORTRANGE(""https://docs.google.com/spreadsheets/d/1c0UfJUA6nE6esVMy0kRcX_PENtt96DMxicQpqi3tips/edit?usp=sharing"","""&amp;"รวมตะวันออกเฉียงเหนือ!L698"")+IMPORTRANGE(""https://docs.google.com/spreadsheets/d/1iNWbYmj0agxPDl_yJgGu1eIremFPVMUuMWUKAjBzvrk/edit?usp=sharing"",""รวมกลาง!L698"")+IMPORTRANGE(""https://docs.google.com/spreadsheets/d/1uenpWDAH2bchvfvsSIjpd4bRU5D1faxJOaE3"&amp;"4GQM5-c/edit?usp=sharing"",""รวมใต้!L698"")"),0)</f>
        <v>0</v>
      </c>
      <c r="M696" s="42">
        <f ca="1">IFERROR(__xludf.DUMMYFUNCTION("IMPORTRANGE(""https://docs.google.com/spreadsheets/d/12pGRKgvn2b31Uz_fjAl3XPzZUM_F2_O-zAHL2XHEPZg/edit?usp=sharing"",""รวมเหนือ!M698"")+IMPORTRANGE(""https://docs.google.com/spreadsheets/d/1c0UfJUA6nE6esVMy0kRcX_PENtt96DMxicQpqi3tips/edit?usp=sharing"","""&amp;"รวมตะวันออกเฉียงเหนือ!M698"")+IMPORTRANGE(""https://docs.google.com/spreadsheets/d/1iNWbYmj0agxPDl_yJgGu1eIremFPVMUuMWUKAjBzvrk/edit?usp=sharing"",""รวมกลาง!M698"")+IMPORTRANGE(""https://docs.google.com/spreadsheets/d/1uenpWDAH2bchvfvsSIjpd4bRU5D1faxJOaE3"&amp;"4GQM5-c/edit?usp=sharing"",""รวมใต้!M698"")"),0)</f>
        <v>0</v>
      </c>
      <c r="N696" s="42">
        <f ca="1">IFERROR(__xludf.DUMMYFUNCTION("IMPORTRANGE(""https://docs.google.com/spreadsheets/d/12pGRKgvn2b31Uz_fjAl3XPzZUM_F2_O-zAHL2XHEPZg/edit?usp=sharing"",""รวมเหนือ!N698"")+IMPORTRANGE(""https://docs.google.com/spreadsheets/d/1c0UfJUA6nE6esVMy0kRcX_PENtt96DMxicQpqi3tips/edit?usp=sharing"","""&amp;"รวมตะวันออกเฉียงเหนือ!N698"")+IMPORTRANGE(""https://docs.google.com/spreadsheets/d/1iNWbYmj0agxPDl_yJgGu1eIremFPVMUuMWUKAjBzvrk/edit?usp=sharing"",""รวมกลาง!N698"")+IMPORTRANGE(""https://docs.google.com/spreadsheets/d/1uenpWDAH2bchvfvsSIjpd4bRU5D1faxJOaE3"&amp;"4GQM5-c/edit?usp=sharing"",""รวมใต้!N698"")"),0)</f>
        <v>0</v>
      </c>
      <c r="O696" s="42">
        <f t="shared" ca="1" si="446"/>
        <v>0</v>
      </c>
      <c r="P696" s="42">
        <f t="shared" ca="1" si="447"/>
        <v>0</v>
      </c>
      <c r="Q696" s="42">
        <f ca="1">IFERROR(__xludf.DUMMYFUNCTION("IMPORTRANGE(""https://docs.google.com/spreadsheets/d/12pGRKgvn2b31Uz_fjAl3XPzZUM_F2_O-zAHL2XHEPZg/edit?usp=sharing"",""รวมเหนือ!Q698"")+IMPORTRANGE(""https://docs.google.com/spreadsheets/d/1c0UfJUA6nE6esVMy0kRcX_PENtt96DMxicQpqi3tips/edit?usp=sharing"","""&amp;"รวมตะวันออกเฉียงเหนือ!Q698"")+IMPORTRANGE(""https://docs.google.com/spreadsheets/d/1iNWbYmj0agxPDl_yJgGu1eIremFPVMUuMWUKAjBzvrk/edit?usp=sharing"",""รวมกลาง!Q698"")+IMPORTRANGE(""https://docs.google.com/spreadsheets/d/1uenpWDAH2bchvfvsSIjpd4bRU5D1faxJOaE3"&amp;"4GQM5-c/edit?usp=sharing"",""รวมใต้!Q698"")"),0)</f>
        <v>0</v>
      </c>
      <c r="R696" s="42">
        <f ca="1">IFERROR(__xludf.DUMMYFUNCTION("IMPORTRANGE(""https://docs.google.com/spreadsheets/d/12pGRKgvn2b31Uz_fjAl3XPzZUM_F2_O-zAHL2XHEPZg/edit?usp=sharing"",""รวมเหนือ!R698"")+IMPORTRANGE(""https://docs.google.com/spreadsheets/d/1c0UfJUA6nE6esVMy0kRcX_PENtt96DMxicQpqi3tips/edit?usp=sharing"","""&amp;"รวมตะวันออกเฉียงเหนือ!R698"")+IMPORTRANGE(""https://docs.google.com/spreadsheets/d/1iNWbYmj0agxPDl_yJgGu1eIremFPVMUuMWUKAjBzvrk/edit?usp=sharing"",""รวมกลาง!R698"")+IMPORTRANGE(""https://docs.google.com/spreadsheets/d/1uenpWDAH2bchvfvsSIjpd4bRU5D1faxJOaE3"&amp;"4GQM5-c/edit?usp=sharing"",""รวมใต้!R698"")"),0)</f>
        <v>0</v>
      </c>
      <c r="S696" s="42">
        <f ca="1">IFERROR(__xludf.DUMMYFUNCTION("IMPORTRANGE(""https://docs.google.com/spreadsheets/d/12pGRKgvn2b31Uz_fjAl3XPzZUM_F2_O-zAHL2XHEPZg/edit?usp=sharing"",""รวมเหนือ!S698"")+IMPORTRANGE(""https://docs.google.com/spreadsheets/d/1c0UfJUA6nE6esVMy0kRcX_PENtt96DMxicQpqi3tips/edit?usp=sharing"","""&amp;"รวมตะวันออกเฉียงเหนือ!S698"")+IMPORTRANGE(""https://docs.google.com/spreadsheets/d/1iNWbYmj0agxPDl_yJgGu1eIremFPVMUuMWUKAjBzvrk/edit?usp=sharing"",""รวมกลาง!S698"")+IMPORTRANGE(""https://docs.google.com/spreadsheets/d/1uenpWDAH2bchvfvsSIjpd4bRU5D1faxJOaE3"&amp;"4GQM5-c/edit?usp=sharing"",""รวมใต้!S698"")"),0)</f>
        <v>0</v>
      </c>
      <c r="T696" s="42">
        <f t="shared" ca="1" si="449"/>
        <v>0</v>
      </c>
      <c r="U696" s="42">
        <f t="shared" ca="1" si="450"/>
        <v>0</v>
      </c>
    </row>
    <row r="697" spans="1:21" ht="19.5" x14ac:dyDescent="0.3">
      <c r="A697" s="152"/>
      <c r="B697" s="153"/>
      <c r="C697" s="143" t="s">
        <v>18</v>
      </c>
      <c r="D697" s="154" t="s">
        <v>38</v>
      </c>
      <c r="E697" s="155"/>
      <c r="F697" s="155"/>
      <c r="G697" s="155"/>
      <c r="H697" s="185"/>
      <c r="I697" s="149"/>
      <c r="J697" s="149"/>
      <c r="K697" s="150"/>
      <c r="L697" s="41"/>
      <c r="M697" s="41"/>
      <c r="N697" s="41"/>
      <c r="O697" s="41"/>
      <c r="P697" s="41"/>
      <c r="Q697" s="41"/>
      <c r="R697" s="41"/>
      <c r="S697" s="41"/>
      <c r="T697" s="41"/>
      <c r="U697" s="41"/>
    </row>
    <row r="698" spans="1:21" s="503" customFormat="1" ht="18.75" x14ac:dyDescent="0.25">
      <c r="A698" s="494"/>
      <c r="B698" s="495"/>
      <c r="C698" s="495"/>
      <c r="D698" s="496"/>
      <c r="E698" s="497" t="s">
        <v>152</v>
      </c>
      <c r="F698" s="496"/>
      <c r="G698" s="498"/>
      <c r="H698" s="499" t="s">
        <v>46</v>
      </c>
      <c r="I698" s="500">
        <v>0</v>
      </c>
      <c r="J698" s="500">
        <v>4529</v>
      </c>
      <c r="K698" s="501">
        <f t="shared" ref="K698:K703" si="457">IF(I698&gt;0,J698*100/I698,0)</f>
        <v>0</v>
      </c>
      <c r="L698" s="502"/>
      <c r="M698" s="502"/>
      <c r="N698" s="502"/>
      <c r="O698" s="502"/>
      <c r="P698" s="502"/>
      <c r="Q698" s="502"/>
      <c r="R698" s="502"/>
      <c r="S698" s="502"/>
      <c r="T698" s="502"/>
      <c r="U698" s="502"/>
    </row>
    <row r="699" spans="1:21" ht="18.75" x14ac:dyDescent="0.25">
      <c r="A699" s="213"/>
      <c r="B699" s="170"/>
      <c r="C699" s="170"/>
      <c r="D699" s="159"/>
      <c r="E699" s="497" t="s">
        <v>153</v>
      </c>
      <c r="F699" s="158"/>
      <c r="G699" s="157"/>
      <c r="H699" s="151" t="s">
        <v>35</v>
      </c>
      <c r="I699" s="176">
        <v>0</v>
      </c>
      <c r="J699" s="176">
        <v>8948</v>
      </c>
      <c r="K699" s="42">
        <f t="shared" si="457"/>
        <v>0</v>
      </c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</row>
    <row r="700" spans="1:21" ht="18.75" x14ac:dyDescent="0.25">
      <c r="A700" s="213"/>
      <c r="B700" s="170"/>
      <c r="C700" s="170"/>
      <c r="D700" s="159"/>
      <c r="E700" s="497" t="s">
        <v>266</v>
      </c>
      <c r="F700" s="158"/>
      <c r="G700" s="157"/>
      <c r="H700" s="151" t="s">
        <v>35</v>
      </c>
      <c r="I700" s="176">
        <v>0</v>
      </c>
      <c r="J700" s="176">
        <v>8867</v>
      </c>
      <c r="K700" s="166">
        <f t="shared" si="457"/>
        <v>0</v>
      </c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</row>
    <row r="701" spans="1:21" ht="18.75" x14ac:dyDescent="0.25">
      <c r="A701" s="213"/>
      <c r="B701" s="170"/>
      <c r="C701" s="170"/>
      <c r="D701" s="159"/>
      <c r="E701" s="497" t="s">
        <v>305</v>
      </c>
      <c r="F701" s="159"/>
      <c r="G701" s="157"/>
      <c r="H701" s="148" t="s">
        <v>35</v>
      </c>
      <c r="I701" s="176">
        <v>0</v>
      </c>
      <c r="J701" s="176">
        <v>7291</v>
      </c>
      <c r="K701" s="42">
        <f t="shared" si="457"/>
        <v>0</v>
      </c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</row>
    <row r="702" spans="1:21" ht="18.75" customHeight="1" x14ac:dyDescent="0.25">
      <c r="A702" s="213"/>
      <c r="B702" s="170"/>
      <c r="C702" s="170"/>
      <c r="D702" s="36"/>
      <c r="E702" s="504" t="s">
        <v>306</v>
      </c>
      <c r="F702" s="36"/>
      <c r="G702" s="38"/>
      <c r="H702" s="184" t="s">
        <v>35</v>
      </c>
      <c r="I702" s="176">
        <v>7550</v>
      </c>
      <c r="J702" s="176">
        <v>8094</v>
      </c>
      <c r="K702" s="42">
        <f t="shared" si="457"/>
        <v>107.20529801324503</v>
      </c>
      <c r="L702" s="41"/>
      <c r="M702" s="41"/>
      <c r="N702" s="41"/>
      <c r="O702" s="41"/>
      <c r="P702" s="41"/>
      <c r="Q702" s="41"/>
      <c r="R702" s="41"/>
      <c r="S702" s="41"/>
      <c r="T702" s="41"/>
      <c r="U702" s="41"/>
    </row>
    <row r="703" spans="1:21" ht="18.75" customHeight="1" x14ac:dyDescent="0.25">
      <c r="A703" s="213"/>
      <c r="B703" s="170"/>
      <c r="C703" s="170"/>
      <c r="D703" s="36"/>
      <c r="E703" s="505" t="s">
        <v>307</v>
      </c>
      <c r="F703" s="36"/>
      <c r="G703" s="38"/>
      <c r="H703" s="184" t="s">
        <v>46</v>
      </c>
      <c r="I703" s="176">
        <v>0</v>
      </c>
      <c r="J703" s="176">
        <v>4411</v>
      </c>
      <c r="K703" s="42">
        <f t="shared" si="457"/>
        <v>0</v>
      </c>
      <c r="L703" s="41"/>
      <c r="M703" s="41"/>
      <c r="N703" s="41"/>
      <c r="O703" s="41"/>
      <c r="P703" s="41"/>
      <c r="Q703" s="41"/>
      <c r="R703" s="41"/>
      <c r="S703" s="41"/>
      <c r="T703" s="41"/>
      <c r="U703" s="41"/>
    </row>
    <row r="704" spans="1:21" ht="18.75" customHeight="1" x14ac:dyDescent="0.25">
      <c r="A704" s="321"/>
      <c r="B704" s="47"/>
      <c r="C704" s="322"/>
      <c r="D704" s="323" t="s">
        <v>304</v>
      </c>
      <c r="E704" s="47"/>
      <c r="F704" s="47"/>
      <c r="G704" s="49"/>
      <c r="H704" s="506"/>
      <c r="I704" s="507"/>
      <c r="J704" s="507"/>
      <c r="K704" s="262"/>
      <c r="L704" s="262"/>
      <c r="M704" s="262"/>
      <c r="N704" s="262"/>
      <c r="O704" s="262"/>
      <c r="P704" s="262"/>
      <c r="Q704" s="262"/>
      <c r="R704" s="262"/>
      <c r="S704" s="262"/>
      <c r="T704" s="262"/>
      <c r="U704" s="262"/>
    </row>
    <row r="705" spans="1:21" ht="19.5" x14ac:dyDescent="0.3">
      <c r="A705" s="431"/>
      <c r="B705" s="432" t="s">
        <v>267</v>
      </c>
      <c r="C705" s="433"/>
      <c r="D705" s="434"/>
      <c r="E705" s="434"/>
      <c r="F705" s="434"/>
      <c r="G705" s="435"/>
      <c r="H705" s="457" t="s">
        <v>46</v>
      </c>
      <c r="I705" s="460">
        <f t="shared" ref="I705:J705" si="458">I717+I718</f>
        <v>1200000</v>
      </c>
      <c r="J705" s="460">
        <f t="shared" si="458"/>
        <v>1348018.5899999999</v>
      </c>
      <c r="K705" s="459">
        <f>IF(I705&gt;0,J705*100/I705,0)</f>
        <v>112.33488250000001</v>
      </c>
      <c r="L705" s="438"/>
      <c r="M705" s="438"/>
      <c r="N705" s="438"/>
      <c r="O705" s="438"/>
      <c r="P705" s="438"/>
      <c r="Q705" s="438"/>
      <c r="R705" s="438"/>
      <c r="S705" s="438"/>
      <c r="T705" s="438"/>
      <c r="U705" s="438"/>
    </row>
    <row r="706" spans="1:21" ht="19.5" x14ac:dyDescent="0.3">
      <c r="A706" s="431"/>
      <c r="B706" s="432" t="s">
        <v>268</v>
      </c>
      <c r="C706" s="433"/>
      <c r="D706" s="434"/>
      <c r="E706" s="434"/>
      <c r="F706" s="434"/>
      <c r="G706" s="435"/>
      <c r="H706" s="436"/>
      <c r="I706" s="437"/>
      <c r="J706" s="437"/>
      <c r="K706" s="438"/>
      <c r="L706" s="438"/>
      <c r="M706" s="438"/>
      <c r="N706" s="438"/>
      <c r="O706" s="438"/>
      <c r="P706" s="438"/>
      <c r="Q706" s="438"/>
      <c r="R706" s="438"/>
      <c r="S706" s="438"/>
      <c r="T706" s="438"/>
      <c r="U706" s="438"/>
    </row>
    <row r="707" spans="1:21" ht="19.5" x14ac:dyDescent="0.3">
      <c r="A707" s="142"/>
      <c r="B707" s="170"/>
      <c r="C707" s="143" t="s">
        <v>18</v>
      </c>
      <c r="D707" s="538" t="s">
        <v>19</v>
      </c>
      <c r="E707" s="535"/>
      <c r="F707" s="535"/>
      <c r="G707" s="536"/>
      <c r="H707" s="227" t="s">
        <v>14</v>
      </c>
      <c r="I707" s="40"/>
      <c r="J707" s="40"/>
      <c r="K707" s="41"/>
      <c r="L707" s="146">
        <f t="shared" ref="L707:N707" ca="1" si="459">L708+L709</f>
        <v>0</v>
      </c>
      <c r="M707" s="146">
        <f t="shared" ca="1" si="459"/>
        <v>0</v>
      </c>
      <c r="N707" s="146">
        <f t="shared" ca="1" si="459"/>
        <v>0</v>
      </c>
      <c r="O707" s="146">
        <f t="shared" ref="O707:O715" ca="1" si="460">IF(L707&gt;0,N707*100/L707,0)</f>
        <v>0</v>
      </c>
      <c r="P707" s="146">
        <f t="shared" ref="P707:P715" ca="1" si="461">IF(M707&gt;0,N707*100/M707,0)</f>
        <v>0</v>
      </c>
      <c r="Q707" s="146">
        <f t="shared" ref="Q707:S707" ca="1" si="462">Q708+Q709</f>
        <v>1299100</v>
      </c>
      <c r="R707" s="146">
        <f t="shared" ca="1" si="462"/>
        <v>1299100</v>
      </c>
      <c r="S707" s="146">
        <f t="shared" ca="1" si="462"/>
        <v>1243181.68</v>
      </c>
      <c r="T707" s="146">
        <f t="shared" ref="T707:T715" ca="1" si="463">IF(Q707&gt;0,S707*100/Q707,0)</f>
        <v>95.695610807482097</v>
      </c>
      <c r="U707" s="146">
        <f t="shared" ref="U707:U715" ca="1" si="464">IF(R707&gt;0,S707*100/R707,0)</f>
        <v>95.695610807482097</v>
      </c>
    </row>
    <row r="708" spans="1:21" ht="18.75" x14ac:dyDescent="0.25">
      <c r="A708" s="142"/>
      <c r="B708" s="170"/>
      <c r="C708" s="170"/>
      <c r="D708" s="159"/>
      <c r="E708" s="43" t="s">
        <v>165</v>
      </c>
      <c r="F708" s="36"/>
      <c r="G708" s="38"/>
      <c r="H708" s="148" t="s">
        <v>14</v>
      </c>
      <c r="I708" s="40"/>
      <c r="J708" s="40"/>
      <c r="K708" s="41"/>
      <c r="L708" s="42">
        <f t="shared" ref="L708:N708" ca="1" si="465">L711+L714</f>
        <v>0</v>
      </c>
      <c r="M708" s="42">
        <f t="shared" ca="1" si="465"/>
        <v>0</v>
      </c>
      <c r="N708" s="42">
        <f t="shared" ca="1" si="465"/>
        <v>0</v>
      </c>
      <c r="O708" s="42">
        <f t="shared" ca="1" si="460"/>
        <v>0</v>
      </c>
      <c r="P708" s="42">
        <f t="shared" ca="1" si="461"/>
        <v>0</v>
      </c>
      <c r="Q708" s="42">
        <f ca="1">IFERROR(__xludf.DUMMYFUNCTION("IMPORTRANGE(""https://docs.google.com/spreadsheets/d/1ItG2mGa2ceCfYo0BwxsXqNm01IGEUdYcSSLTEv9YCik/edit?usp=sharing"",""เบิกจ่ายกองทุน!AG11"")"),1299100)</f>
        <v>1299100</v>
      </c>
      <c r="R708" s="42">
        <f ca="1">IFERROR(__xludf.DUMMYFUNCTION("IMPORTRANGE(""https://docs.google.com/spreadsheets/d/1ItG2mGa2ceCfYo0BwxsXqNm01IGEUdYcSSLTEv9YCik/edit?usp=sharing"",""เบิกจ่ายกองทุน!AH11"")"),1299100)</f>
        <v>1299100</v>
      </c>
      <c r="S708" s="42">
        <f ca="1">IFERROR(__xludf.DUMMYFUNCTION("IMPORTRANGE(""https://docs.google.com/spreadsheets/d/1ItG2mGa2ceCfYo0BwxsXqNm01IGEUdYcSSLTEv9YCik/edit?usp=sharing"",""เบิกจ่ายกองทุน!AI11"")"),1243181.68)</f>
        <v>1243181.68</v>
      </c>
      <c r="T708" s="42">
        <f t="shared" ca="1" si="463"/>
        <v>95.695610807482097</v>
      </c>
      <c r="U708" s="42">
        <f t="shared" ca="1" si="464"/>
        <v>95.695610807482097</v>
      </c>
    </row>
    <row r="709" spans="1:21" ht="18.75" x14ac:dyDescent="0.25">
      <c r="A709" s="142"/>
      <c r="B709" s="170"/>
      <c r="C709" s="170"/>
      <c r="D709" s="159"/>
      <c r="E709" s="43" t="s">
        <v>166</v>
      </c>
      <c r="F709" s="36"/>
      <c r="G709" s="38"/>
      <c r="H709" s="148" t="s">
        <v>14</v>
      </c>
      <c r="I709" s="40"/>
      <c r="J709" s="40"/>
      <c r="K709" s="41"/>
      <c r="L709" s="42">
        <f t="shared" ref="L709:N709" ca="1" si="466">L712+L715</f>
        <v>0</v>
      </c>
      <c r="M709" s="42">
        <f t="shared" ca="1" si="466"/>
        <v>0</v>
      </c>
      <c r="N709" s="42">
        <f t="shared" ca="1" si="466"/>
        <v>0</v>
      </c>
      <c r="O709" s="42">
        <f t="shared" ca="1" si="460"/>
        <v>0</v>
      </c>
      <c r="P709" s="42">
        <f t="shared" ca="1" si="461"/>
        <v>0</v>
      </c>
      <c r="Q709" s="42">
        <f t="shared" ref="Q709:S709" ca="1" si="467">Q712+Q715</f>
        <v>0</v>
      </c>
      <c r="R709" s="42">
        <f t="shared" ca="1" si="467"/>
        <v>0</v>
      </c>
      <c r="S709" s="42">
        <f t="shared" ca="1" si="467"/>
        <v>0</v>
      </c>
      <c r="T709" s="42">
        <f t="shared" ca="1" si="463"/>
        <v>0</v>
      </c>
      <c r="U709" s="42">
        <f t="shared" ca="1" si="464"/>
        <v>0</v>
      </c>
    </row>
    <row r="710" spans="1:21" ht="19.5" x14ac:dyDescent="0.3">
      <c r="A710" s="142"/>
      <c r="B710" s="170"/>
      <c r="C710" s="170"/>
      <c r="D710" s="144" t="s">
        <v>22</v>
      </c>
      <c r="E710" s="36"/>
      <c r="F710" s="36"/>
      <c r="G710" s="38"/>
      <c r="H710" s="227" t="s">
        <v>14</v>
      </c>
      <c r="I710" s="149"/>
      <c r="J710" s="149"/>
      <c r="K710" s="150"/>
      <c r="L710" s="42">
        <f t="shared" ref="L710:N710" ca="1" si="468">L711+L712</f>
        <v>0</v>
      </c>
      <c r="M710" s="42">
        <f t="shared" ca="1" si="468"/>
        <v>0</v>
      </c>
      <c r="N710" s="42">
        <f t="shared" ca="1" si="468"/>
        <v>0</v>
      </c>
      <c r="O710" s="42">
        <f t="shared" ca="1" si="460"/>
        <v>0</v>
      </c>
      <c r="P710" s="42">
        <f t="shared" ca="1" si="461"/>
        <v>0</v>
      </c>
      <c r="Q710" s="42">
        <f t="shared" ref="Q710:S710" ca="1" si="469">Q711+Q712</f>
        <v>0</v>
      </c>
      <c r="R710" s="42">
        <f t="shared" ca="1" si="469"/>
        <v>0</v>
      </c>
      <c r="S710" s="42">
        <f t="shared" ca="1" si="469"/>
        <v>0</v>
      </c>
      <c r="T710" s="42">
        <f t="shared" ca="1" si="463"/>
        <v>0</v>
      </c>
      <c r="U710" s="42">
        <f t="shared" ca="1" si="464"/>
        <v>0</v>
      </c>
    </row>
    <row r="711" spans="1:21" ht="18.75" x14ac:dyDescent="0.25">
      <c r="A711" s="142"/>
      <c r="B711" s="170"/>
      <c r="C711" s="170"/>
      <c r="D711" s="159"/>
      <c r="E711" s="43" t="s">
        <v>165</v>
      </c>
      <c r="F711" s="36"/>
      <c r="G711" s="38"/>
      <c r="H711" s="148" t="s">
        <v>14</v>
      </c>
      <c r="I711" s="40"/>
      <c r="J711" s="40"/>
      <c r="K711" s="41"/>
      <c r="L711" s="42">
        <f ca="1">IFERROR(__xludf.DUMMYFUNCTION("IMPORTRANGE(""https://docs.google.com/spreadsheets/d/12pGRKgvn2b31Uz_fjAl3XPzZUM_F2_O-zAHL2XHEPZg/edit?usp=sharing"",""รวมเหนือ!L718"")+IMPORTRANGE(""https://docs.google.com/spreadsheets/d/1c0UfJUA6nE6esVMy0kRcX_PENtt96DMxicQpqi3tips/edit?usp=sharing"","""&amp;"รวมตะวันออกเฉียงเหนือ!L718"")+IMPORTRANGE(""https://docs.google.com/spreadsheets/d/1iNWbYmj0agxPDl_yJgGu1eIremFPVMUuMWUKAjBzvrk/edit?usp=sharing"",""รวมกลาง!L718"")+IMPORTRANGE(""https://docs.google.com/spreadsheets/d/1uenpWDAH2bchvfvsSIjpd4bRU5D1faxJOaE3"&amp;"4GQM5-c/edit?usp=sharing"",""รวมใต้!L718"")"),0)</f>
        <v>0</v>
      </c>
      <c r="M711" s="42">
        <f ca="1">IFERROR(__xludf.DUMMYFUNCTION("IMPORTRANGE(""https://docs.google.com/spreadsheets/d/12pGRKgvn2b31Uz_fjAl3XPzZUM_F2_O-zAHL2XHEPZg/edit?usp=sharing"",""รวมเหนือ!M718"")+IMPORTRANGE(""https://docs.google.com/spreadsheets/d/1c0UfJUA6nE6esVMy0kRcX_PENtt96DMxicQpqi3tips/edit?usp=sharing"","""&amp;"รวมตะวันออกเฉียงเหนือ!M718"")+IMPORTRANGE(""https://docs.google.com/spreadsheets/d/1iNWbYmj0agxPDl_yJgGu1eIremFPVMUuMWUKAjBzvrk/edit?usp=sharing"",""รวมกลาง!M718"")+IMPORTRANGE(""https://docs.google.com/spreadsheets/d/1uenpWDAH2bchvfvsSIjpd4bRU5D1faxJOaE3"&amp;"4GQM5-c/edit?usp=sharing"",""รวมใต้!M718"")"),0)</f>
        <v>0</v>
      </c>
      <c r="N711" s="42">
        <f ca="1">IFERROR(__xludf.DUMMYFUNCTION("IMPORTRANGE(""https://docs.google.com/spreadsheets/d/12pGRKgvn2b31Uz_fjAl3XPzZUM_F2_O-zAHL2XHEPZg/edit?usp=sharing"",""รวมเหนือ!N718"")+IMPORTRANGE(""https://docs.google.com/spreadsheets/d/1c0UfJUA6nE6esVMy0kRcX_PENtt96DMxicQpqi3tips/edit?usp=sharing"","""&amp;"รวมตะวันออกเฉียงเหนือ!N718"")+IMPORTRANGE(""https://docs.google.com/spreadsheets/d/1iNWbYmj0agxPDl_yJgGu1eIremFPVMUuMWUKAjBzvrk/edit?usp=sharing"",""รวมกลาง!N718"")+IMPORTRANGE(""https://docs.google.com/spreadsheets/d/1uenpWDAH2bchvfvsSIjpd4bRU5D1faxJOaE3"&amp;"4GQM5-c/edit?usp=sharing"",""รวมใต้!N718"")"),0)</f>
        <v>0</v>
      </c>
      <c r="O711" s="42">
        <f t="shared" ca="1" si="460"/>
        <v>0</v>
      </c>
      <c r="P711" s="42">
        <f t="shared" ca="1" si="461"/>
        <v>0</v>
      </c>
      <c r="Q711" s="42">
        <v>0</v>
      </c>
      <c r="R711" s="42">
        <v>0</v>
      </c>
      <c r="S711" s="42">
        <v>0</v>
      </c>
      <c r="T711" s="42">
        <f t="shared" si="463"/>
        <v>0</v>
      </c>
      <c r="U711" s="42">
        <f t="shared" si="464"/>
        <v>0</v>
      </c>
    </row>
    <row r="712" spans="1:21" ht="18.75" x14ac:dyDescent="0.25">
      <c r="A712" s="142"/>
      <c r="B712" s="170"/>
      <c r="C712" s="170"/>
      <c r="D712" s="159"/>
      <c r="E712" s="43" t="s">
        <v>166</v>
      </c>
      <c r="F712" s="36"/>
      <c r="G712" s="38"/>
      <c r="H712" s="148" t="s">
        <v>14</v>
      </c>
      <c r="I712" s="40"/>
      <c r="J712" s="40"/>
      <c r="K712" s="41"/>
      <c r="L712" s="42">
        <f ca="1">IFERROR(__xludf.DUMMYFUNCTION("IMPORTRANGE(""https://docs.google.com/spreadsheets/d/12pGRKgvn2b31Uz_fjAl3XPzZUM_F2_O-zAHL2XHEPZg/edit?usp=sharing"",""รวมเหนือ!L719"")+IMPORTRANGE(""https://docs.google.com/spreadsheets/d/1c0UfJUA6nE6esVMy0kRcX_PENtt96DMxicQpqi3tips/edit?usp=sharing"","""&amp;"รวมตะวันออกเฉียงเหนือ!L719"")+IMPORTRANGE(""https://docs.google.com/spreadsheets/d/1iNWbYmj0agxPDl_yJgGu1eIremFPVMUuMWUKAjBzvrk/edit?usp=sharing"",""รวมกลาง!L719"")+IMPORTRANGE(""https://docs.google.com/spreadsheets/d/1uenpWDAH2bchvfvsSIjpd4bRU5D1faxJOaE3"&amp;"4GQM5-c/edit?usp=sharing"",""รวมใต้!L719"")"),0)</f>
        <v>0</v>
      </c>
      <c r="M712" s="42">
        <f ca="1">IFERROR(__xludf.DUMMYFUNCTION("IMPORTRANGE(""https://docs.google.com/spreadsheets/d/12pGRKgvn2b31Uz_fjAl3XPzZUM_F2_O-zAHL2XHEPZg/edit?usp=sharing"",""รวมเหนือ!M719"")+IMPORTRANGE(""https://docs.google.com/spreadsheets/d/1c0UfJUA6nE6esVMy0kRcX_PENtt96DMxicQpqi3tips/edit?usp=sharing"","""&amp;"รวมตะวันออกเฉียงเหนือ!M719"")+IMPORTRANGE(""https://docs.google.com/spreadsheets/d/1iNWbYmj0agxPDl_yJgGu1eIremFPVMUuMWUKAjBzvrk/edit?usp=sharing"",""รวมกลาง!M719"")+IMPORTRANGE(""https://docs.google.com/spreadsheets/d/1uenpWDAH2bchvfvsSIjpd4bRU5D1faxJOaE3"&amp;"4GQM5-c/edit?usp=sharing"",""รวมใต้!M719"")"),0)</f>
        <v>0</v>
      </c>
      <c r="N712" s="42">
        <f ca="1">IFERROR(__xludf.DUMMYFUNCTION("IMPORTRANGE(""https://docs.google.com/spreadsheets/d/12pGRKgvn2b31Uz_fjAl3XPzZUM_F2_O-zAHL2XHEPZg/edit?usp=sharing"",""รวมเหนือ!N719"")+IMPORTRANGE(""https://docs.google.com/spreadsheets/d/1c0UfJUA6nE6esVMy0kRcX_PENtt96DMxicQpqi3tips/edit?usp=sharing"","""&amp;"รวมตะวันออกเฉียงเหนือ!N719"")+IMPORTRANGE(""https://docs.google.com/spreadsheets/d/1iNWbYmj0agxPDl_yJgGu1eIremFPVMUuMWUKAjBzvrk/edit?usp=sharing"",""รวมกลาง!N719"")+IMPORTRANGE(""https://docs.google.com/spreadsheets/d/1uenpWDAH2bchvfvsSIjpd4bRU5D1faxJOaE3"&amp;"4GQM5-c/edit?usp=sharing"",""รวมใต้!N719"")"),0)</f>
        <v>0</v>
      </c>
      <c r="O712" s="42">
        <f t="shared" ca="1" si="460"/>
        <v>0</v>
      </c>
      <c r="P712" s="42">
        <f t="shared" ca="1" si="461"/>
        <v>0</v>
      </c>
      <c r="Q712" s="42">
        <f ca="1">IFERROR(__xludf.DUMMYFUNCTION("IMPORTRANGE(""https://docs.google.com/spreadsheets/d/12pGRKgvn2b31Uz_fjAl3XPzZUM_F2_O-zAHL2XHEPZg/edit?usp=sharing"",""รวมเหนือ!Q719"")+IMPORTRANGE(""https://docs.google.com/spreadsheets/d/1c0UfJUA6nE6esVMy0kRcX_PENtt96DMxicQpqi3tips/edit?usp=sharing"","""&amp;"รวมตะวันออกเฉียงเหนือ!Q719"")+IMPORTRANGE(""https://docs.google.com/spreadsheets/d/1iNWbYmj0agxPDl_yJgGu1eIremFPVMUuMWUKAjBzvrk/edit?usp=sharing"",""รวมกลาง!Q719"")+IMPORTRANGE(""https://docs.google.com/spreadsheets/d/1uenpWDAH2bchvfvsSIjpd4bRU5D1faxJOaE3"&amp;"4GQM5-c/edit?usp=sharing"",""รวมใต้!Q719"")"),0)</f>
        <v>0</v>
      </c>
      <c r="R712" s="42">
        <f ca="1">IFERROR(__xludf.DUMMYFUNCTION("IMPORTRANGE(""https://docs.google.com/spreadsheets/d/12pGRKgvn2b31Uz_fjAl3XPzZUM_F2_O-zAHL2XHEPZg/edit?usp=sharing"",""รวมเหนือ!R719"")+IMPORTRANGE(""https://docs.google.com/spreadsheets/d/1c0UfJUA6nE6esVMy0kRcX_PENtt96DMxicQpqi3tips/edit?usp=sharing"","""&amp;"รวมตะวันออกเฉียงเหนือ!R719"")+IMPORTRANGE(""https://docs.google.com/spreadsheets/d/1iNWbYmj0agxPDl_yJgGu1eIremFPVMUuMWUKAjBzvrk/edit?usp=sharing"",""รวมกลาง!R719"")+IMPORTRANGE(""https://docs.google.com/spreadsheets/d/1uenpWDAH2bchvfvsSIjpd4bRU5D1faxJOaE3"&amp;"4GQM5-c/edit?usp=sharing"",""รวมใต้!R719"")"),0)</f>
        <v>0</v>
      </c>
      <c r="S712" s="42">
        <f ca="1">IFERROR(__xludf.DUMMYFUNCTION("IMPORTRANGE(""https://docs.google.com/spreadsheets/d/12pGRKgvn2b31Uz_fjAl3XPzZUM_F2_O-zAHL2XHEPZg/edit?usp=sharing"",""รวมเหนือ!S719"")+IMPORTRANGE(""https://docs.google.com/spreadsheets/d/1c0UfJUA6nE6esVMy0kRcX_PENtt96DMxicQpqi3tips/edit?usp=sharing"","""&amp;"รวมตะวันออกเฉียงเหนือ!S719"")+IMPORTRANGE(""https://docs.google.com/spreadsheets/d/1iNWbYmj0agxPDl_yJgGu1eIremFPVMUuMWUKAjBzvrk/edit?usp=sharing"",""รวมกลาง!S719"")+IMPORTRANGE(""https://docs.google.com/spreadsheets/d/1uenpWDAH2bchvfvsSIjpd4bRU5D1faxJOaE3"&amp;"4GQM5-c/edit?usp=sharing"",""รวมใต้!S719"")"),0)</f>
        <v>0</v>
      </c>
      <c r="T712" s="42">
        <f t="shared" ca="1" si="463"/>
        <v>0</v>
      </c>
      <c r="U712" s="42">
        <f t="shared" ca="1" si="464"/>
        <v>0</v>
      </c>
    </row>
    <row r="713" spans="1:21" ht="19.5" x14ac:dyDescent="0.3">
      <c r="A713" s="142"/>
      <c r="B713" s="170"/>
      <c r="C713" s="170"/>
      <c r="D713" s="144" t="s">
        <v>23</v>
      </c>
      <c r="E713" s="36"/>
      <c r="F713" s="36"/>
      <c r="G713" s="38"/>
      <c r="H713" s="414" t="s">
        <v>14</v>
      </c>
      <c r="I713" s="149"/>
      <c r="J713" s="149"/>
      <c r="K713" s="150"/>
      <c r="L713" s="42">
        <f t="shared" ref="L713:N713" ca="1" si="470">L714+L715</f>
        <v>0</v>
      </c>
      <c r="M713" s="42">
        <f t="shared" ca="1" si="470"/>
        <v>0</v>
      </c>
      <c r="N713" s="42">
        <f t="shared" ca="1" si="470"/>
        <v>0</v>
      </c>
      <c r="O713" s="42">
        <f t="shared" ca="1" si="460"/>
        <v>0</v>
      </c>
      <c r="P713" s="42">
        <f t="shared" ca="1" si="461"/>
        <v>0</v>
      </c>
      <c r="Q713" s="42">
        <f t="shared" ref="Q713:S713" ca="1" si="471">Q714+Q715</f>
        <v>0</v>
      </c>
      <c r="R713" s="42">
        <f t="shared" ca="1" si="471"/>
        <v>0</v>
      </c>
      <c r="S713" s="42">
        <f t="shared" ca="1" si="471"/>
        <v>0</v>
      </c>
      <c r="T713" s="42">
        <f t="shared" ca="1" si="463"/>
        <v>0</v>
      </c>
      <c r="U713" s="42">
        <f t="shared" ca="1" si="464"/>
        <v>0</v>
      </c>
    </row>
    <row r="714" spans="1:21" ht="18.75" x14ac:dyDescent="0.25">
      <c r="A714" s="142"/>
      <c r="B714" s="170"/>
      <c r="C714" s="170"/>
      <c r="D714" s="36"/>
      <c r="E714" s="43" t="s">
        <v>20</v>
      </c>
      <c r="F714" s="36"/>
      <c r="G714" s="38"/>
      <c r="H714" s="148" t="s">
        <v>14</v>
      </c>
      <c r="I714" s="149"/>
      <c r="J714" s="149"/>
      <c r="K714" s="150"/>
      <c r="L714" s="42">
        <f ca="1">IFERROR(__xludf.DUMMYFUNCTION("IMPORTRANGE(""https://docs.google.com/spreadsheets/d/12pGRKgvn2b31Uz_fjAl3XPzZUM_F2_O-zAHL2XHEPZg/edit?usp=sharing"",""รวมเหนือ!L721"")+IMPORTRANGE(""https://docs.google.com/spreadsheets/d/1c0UfJUA6nE6esVMy0kRcX_PENtt96DMxicQpqi3tips/edit?usp=sharing"","""&amp;"รวมตะวันออกเฉียงเหนือ!L721"")+IMPORTRANGE(""https://docs.google.com/spreadsheets/d/1iNWbYmj0agxPDl_yJgGu1eIremFPVMUuMWUKAjBzvrk/edit?usp=sharing"",""รวมกลาง!L721"")+IMPORTRANGE(""https://docs.google.com/spreadsheets/d/1uenpWDAH2bchvfvsSIjpd4bRU5D1faxJOaE3"&amp;"4GQM5-c/edit?usp=sharing"",""รวมใต้!L721"")"),0)</f>
        <v>0</v>
      </c>
      <c r="M714" s="42">
        <f ca="1">IFERROR(__xludf.DUMMYFUNCTION("IMPORTRANGE(""https://docs.google.com/spreadsheets/d/12pGRKgvn2b31Uz_fjAl3XPzZUM_F2_O-zAHL2XHEPZg/edit?usp=sharing"",""รวมเหนือ!M721"")+IMPORTRANGE(""https://docs.google.com/spreadsheets/d/1c0UfJUA6nE6esVMy0kRcX_PENtt96DMxicQpqi3tips/edit?usp=sharing"","""&amp;"รวมตะวันออกเฉียงเหนือ!M721"")+IMPORTRANGE(""https://docs.google.com/spreadsheets/d/1iNWbYmj0agxPDl_yJgGu1eIremFPVMUuMWUKAjBzvrk/edit?usp=sharing"",""รวมกลาง!M721"")+IMPORTRANGE(""https://docs.google.com/spreadsheets/d/1uenpWDAH2bchvfvsSIjpd4bRU5D1faxJOaE3"&amp;"4GQM5-c/edit?usp=sharing"",""รวมใต้!M721"")"),0)</f>
        <v>0</v>
      </c>
      <c r="N714" s="42">
        <f ca="1">IFERROR(__xludf.DUMMYFUNCTION("IMPORTRANGE(""https://docs.google.com/spreadsheets/d/12pGRKgvn2b31Uz_fjAl3XPzZUM_F2_O-zAHL2XHEPZg/edit?usp=sharing"",""รวมเหนือ!N721"")+IMPORTRANGE(""https://docs.google.com/spreadsheets/d/1c0UfJUA6nE6esVMy0kRcX_PENtt96DMxicQpqi3tips/edit?usp=sharing"","""&amp;"รวมตะวันออกเฉียงเหนือ!N721"")+IMPORTRANGE(""https://docs.google.com/spreadsheets/d/1iNWbYmj0agxPDl_yJgGu1eIremFPVMUuMWUKAjBzvrk/edit?usp=sharing"",""รวมกลาง!N721"")+IMPORTRANGE(""https://docs.google.com/spreadsheets/d/1uenpWDAH2bchvfvsSIjpd4bRU5D1faxJOaE3"&amp;"4GQM5-c/edit?usp=sharing"",""รวมใต้!N721"")"),0)</f>
        <v>0</v>
      </c>
      <c r="O714" s="42">
        <f t="shared" ca="1" si="460"/>
        <v>0</v>
      </c>
      <c r="P714" s="42">
        <f t="shared" ca="1" si="461"/>
        <v>0</v>
      </c>
      <c r="Q714" s="42">
        <v>0</v>
      </c>
      <c r="R714" s="42">
        <v>0</v>
      </c>
      <c r="S714" s="42">
        <v>0</v>
      </c>
      <c r="T714" s="42">
        <f t="shared" si="463"/>
        <v>0</v>
      </c>
      <c r="U714" s="42">
        <f t="shared" si="464"/>
        <v>0</v>
      </c>
    </row>
    <row r="715" spans="1:21" ht="18.75" x14ac:dyDescent="0.25">
      <c r="A715" s="142"/>
      <c r="B715" s="170"/>
      <c r="C715" s="170"/>
      <c r="D715" s="36"/>
      <c r="E715" s="43" t="s">
        <v>21</v>
      </c>
      <c r="F715" s="36"/>
      <c r="G715" s="38"/>
      <c r="H715" s="151" t="s">
        <v>14</v>
      </c>
      <c r="I715" s="149"/>
      <c r="J715" s="149"/>
      <c r="K715" s="150"/>
      <c r="L715" s="42">
        <f ca="1">IFERROR(__xludf.DUMMYFUNCTION("IMPORTRANGE(""https://docs.google.com/spreadsheets/d/12pGRKgvn2b31Uz_fjAl3XPzZUM_F2_O-zAHL2XHEPZg/edit?usp=sharing"",""รวมเหนือ!L722"")+IMPORTRANGE(""https://docs.google.com/spreadsheets/d/1c0UfJUA6nE6esVMy0kRcX_PENtt96DMxicQpqi3tips/edit?usp=sharing"","""&amp;"รวมตะวันออกเฉียงเหนือ!L722"")+IMPORTRANGE(""https://docs.google.com/spreadsheets/d/1iNWbYmj0agxPDl_yJgGu1eIremFPVMUuMWUKAjBzvrk/edit?usp=sharing"",""รวมกลาง!L722"")+IMPORTRANGE(""https://docs.google.com/spreadsheets/d/1uenpWDAH2bchvfvsSIjpd4bRU5D1faxJOaE3"&amp;"4GQM5-c/edit?usp=sharing"",""รวมใต้!L722"")"),0)</f>
        <v>0</v>
      </c>
      <c r="M715" s="42">
        <f ca="1">IFERROR(__xludf.DUMMYFUNCTION("IMPORTRANGE(""https://docs.google.com/spreadsheets/d/12pGRKgvn2b31Uz_fjAl3XPzZUM_F2_O-zAHL2XHEPZg/edit?usp=sharing"",""รวมเหนือ!M722"")+IMPORTRANGE(""https://docs.google.com/spreadsheets/d/1c0UfJUA6nE6esVMy0kRcX_PENtt96DMxicQpqi3tips/edit?usp=sharing"","""&amp;"รวมตะวันออกเฉียงเหนือ!M722"")+IMPORTRANGE(""https://docs.google.com/spreadsheets/d/1iNWbYmj0agxPDl_yJgGu1eIremFPVMUuMWUKAjBzvrk/edit?usp=sharing"",""รวมกลาง!M722"")+IMPORTRANGE(""https://docs.google.com/spreadsheets/d/1uenpWDAH2bchvfvsSIjpd4bRU5D1faxJOaE3"&amp;"4GQM5-c/edit?usp=sharing"",""รวมใต้!M722"")"),0)</f>
        <v>0</v>
      </c>
      <c r="N715" s="42">
        <f ca="1">IFERROR(__xludf.DUMMYFUNCTION("IMPORTRANGE(""https://docs.google.com/spreadsheets/d/12pGRKgvn2b31Uz_fjAl3XPzZUM_F2_O-zAHL2XHEPZg/edit?usp=sharing"",""รวมเหนือ!N722"")+IMPORTRANGE(""https://docs.google.com/spreadsheets/d/1c0UfJUA6nE6esVMy0kRcX_PENtt96DMxicQpqi3tips/edit?usp=sharing"","""&amp;"รวมตะวันออกเฉียงเหนือ!N722"")+IMPORTRANGE(""https://docs.google.com/spreadsheets/d/1iNWbYmj0agxPDl_yJgGu1eIremFPVMUuMWUKAjBzvrk/edit?usp=sharing"",""รวมกลาง!N722"")+IMPORTRANGE(""https://docs.google.com/spreadsheets/d/1uenpWDAH2bchvfvsSIjpd4bRU5D1faxJOaE3"&amp;"4GQM5-c/edit?usp=sharing"",""รวมใต้!N722"")"),0)</f>
        <v>0</v>
      </c>
      <c r="O715" s="42">
        <f t="shared" ca="1" si="460"/>
        <v>0</v>
      </c>
      <c r="P715" s="42">
        <f t="shared" ca="1" si="461"/>
        <v>0</v>
      </c>
      <c r="Q715" s="42">
        <f ca="1">IFERROR(__xludf.DUMMYFUNCTION("IMPORTRANGE(""https://docs.google.com/spreadsheets/d/12pGRKgvn2b31Uz_fjAl3XPzZUM_F2_O-zAHL2XHEPZg/edit?usp=sharing"",""รวมเหนือ!Q722"")+IMPORTRANGE(""https://docs.google.com/spreadsheets/d/1c0UfJUA6nE6esVMy0kRcX_PENtt96DMxicQpqi3tips/edit?usp=sharing"","""&amp;"รวมตะวันออกเฉียงเหนือ!Q722"")+IMPORTRANGE(""https://docs.google.com/spreadsheets/d/1iNWbYmj0agxPDl_yJgGu1eIremFPVMUuMWUKAjBzvrk/edit?usp=sharing"",""รวมกลาง!Q722"")+IMPORTRANGE(""https://docs.google.com/spreadsheets/d/1uenpWDAH2bchvfvsSIjpd4bRU5D1faxJOaE3"&amp;"4GQM5-c/edit?usp=sharing"",""รวมใต้!Q722"")"),0)</f>
        <v>0</v>
      </c>
      <c r="R715" s="42">
        <f ca="1">IFERROR(__xludf.DUMMYFUNCTION("IMPORTRANGE(""https://docs.google.com/spreadsheets/d/12pGRKgvn2b31Uz_fjAl3XPzZUM_F2_O-zAHL2XHEPZg/edit?usp=sharing"",""รวมเหนือ!R722"")+IMPORTRANGE(""https://docs.google.com/spreadsheets/d/1c0UfJUA6nE6esVMy0kRcX_PENtt96DMxicQpqi3tips/edit?usp=sharing"","""&amp;"รวมตะวันออกเฉียงเหนือ!R722"")+IMPORTRANGE(""https://docs.google.com/spreadsheets/d/1iNWbYmj0agxPDl_yJgGu1eIremFPVMUuMWUKAjBzvrk/edit?usp=sharing"",""รวมกลาง!R722"")+IMPORTRANGE(""https://docs.google.com/spreadsheets/d/1uenpWDAH2bchvfvsSIjpd4bRU5D1faxJOaE3"&amp;"4GQM5-c/edit?usp=sharing"",""รวมใต้!R722"")"),0)</f>
        <v>0</v>
      </c>
      <c r="S715" s="42">
        <f ca="1">IFERROR(__xludf.DUMMYFUNCTION("IMPORTRANGE(""https://docs.google.com/spreadsheets/d/12pGRKgvn2b31Uz_fjAl3XPzZUM_F2_O-zAHL2XHEPZg/edit?usp=sharing"",""รวมเหนือ!S722"")+IMPORTRANGE(""https://docs.google.com/spreadsheets/d/1c0UfJUA6nE6esVMy0kRcX_PENtt96DMxicQpqi3tips/edit?usp=sharing"","""&amp;"รวมตะวันออกเฉียงเหนือ!S722"")+IMPORTRANGE(""https://docs.google.com/spreadsheets/d/1iNWbYmj0agxPDl_yJgGu1eIremFPVMUuMWUKAjBzvrk/edit?usp=sharing"",""รวมกลาง!S722"")+IMPORTRANGE(""https://docs.google.com/spreadsheets/d/1uenpWDAH2bchvfvsSIjpd4bRU5D1faxJOaE3"&amp;"4GQM5-c/edit?usp=sharing"",""รวมใต้!S722"")"),0)</f>
        <v>0</v>
      </c>
      <c r="T715" s="42">
        <f t="shared" ca="1" si="463"/>
        <v>0</v>
      </c>
      <c r="U715" s="42">
        <f t="shared" ca="1" si="464"/>
        <v>0</v>
      </c>
    </row>
    <row r="716" spans="1:21" ht="19.5" x14ac:dyDescent="0.3">
      <c r="A716" s="152"/>
      <c r="B716" s="153"/>
      <c r="C716" s="143" t="s">
        <v>18</v>
      </c>
      <c r="D716" s="451" t="s">
        <v>38</v>
      </c>
      <c r="E716" s="155"/>
      <c r="F716" s="155"/>
      <c r="G716" s="156"/>
      <c r="H716" s="185"/>
      <c r="I716" s="149"/>
      <c r="J716" s="149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</row>
    <row r="717" spans="1:21" ht="18.75" x14ac:dyDescent="0.25">
      <c r="A717" s="213"/>
      <c r="B717" s="170"/>
      <c r="C717" s="170"/>
      <c r="D717" s="36"/>
      <c r="E717" s="43" t="s">
        <v>269</v>
      </c>
      <c r="F717" s="36"/>
      <c r="G717" s="38"/>
      <c r="H717" s="148" t="s">
        <v>46</v>
      </c>
      <c r="I717" s="176">
        <v>600000</v>
      </c>
      <c r="J717" s="94">
        <v>618552</v>
      </c>
      <c r="K717" s="45">
        <f t="shared" ref="K717:K720" si="472">IF(I717&gt;0,J717*100/I717,0)</f>
        <v>103.092</v>
      </c>
      <c r="L717" s="41"/>
      <c r="M717" s="41"/>
      <c r="N717" s="41"/>
      <c r="O717" s="41"/>
      <c r="P717" s="41"/>
      <c r="Q717" s="41"/>
      <c r="R717" s="41"/>
      <c r="S717" s="41"/>
      <c r="T717" s="41"/>
      <c r="U717" s="41"/>
    </row>
    <row r="718" spans="1:21" ht="18.75" x14ac:dyDescent="0.25">
      <c r="A718" s="321"/>
      <c r="B718" s="322"/>
      <c r="C718" s="322"/>
      <c r="D718" s="47"/>
      <c r="E718" s="48" t="s">
        <v>270</v>
      </c>
      <c r="F718" s="47"/>
      <c r="G718" s="49"/>
      <c r="H718" s="461" t="s">
        <v>46</v>
      </c>
      <c r="I718" s="193">
        <v>600000</v>
      </c>
      <c r="J718" s="97">
        <v>729466.59</v>
      </c>
      <c r="K718" s="53">
        <f t="shared" si="472"/>
        <v>121.577765</v>
      </c>
      <c r="L718" s="52"/>
      <c r="M718" s="52"/>
      <c r="N718" s="52"/>
      <c r="O718" s="52"/>
      <c r="P718" s="52"/>
      <c r="Q718" s="52"/>
      <c r="R718" s="52"/>
      <c r="S718" s="52"/>
      <c r="T718" s="52"/>
      <c r="U718" s="52"/>
    </row>
    <row r="719" spans="1:21" ht="19.5" x14ac:dyDescent="0.3">
      <c r="A719" s="431"/>
      <c r="B719" s="432" t="s">
        <v>271</v>
      </c>
      <c r="C719" s="433"/>
      <c r="D719" s="434"/>
      <c r="E719" s="434"/>
      <c r="F719" s="434"/>
      <c r="G719" s="435"/>
      <c r="H719" s="457" t="s">
        <v>35</v>
      </c>
      <c r="I719" s="458">
        <f ca="1">IFERROR(__xludf.DUMMYFUNCTION("IMPORTRANGE(""https://docs.google.com/spreadsheets/d/12pGRKgvn2b31Uz_fjAl3XPzZUM_F2_O-zAHL2XHEPZg/edit?usp=sharing"",""รวมเหนือ!I726"")+IMPORTRANGE(""https://docs.google.com/spreadsheets/d/1c0UfJUA6nE6esVMy0kRcX_PENtt96DMxicQpqi3tips/edit?usp=sharing"","""&amp;"รวมตะวันออกเฉียงเหนือ!I726"")+IMPORTRANGE(""https://docs.google.com/spreadsheets/d/1iNWbYmj0agxPDl_yJgGu1eIremFPVMUuMWUKAjBzvrk/edit?usp=sharing"",""รวมกลาง!I726"")+IMPORTRANGE(""https://docs.google.com/spreadsheets/d/1uenpWDAH2bchvfvsSIjpd4bRU5D1faxJOaE3"&amp;"4GQM5-c/edit?usp=sharing"",""รวมใต้!I726"")"),4625)</f>
        <v>4625</v>
      </c>
      <c r="J719" s="458">
        <f ca="1">J735+J739+J742</f>
        <v>5239</v>
      </c>
      <c r="K719" s="459">
        <f t="shared" ca="1" si="472"/>
        <v>113.27567567567567</v>
      </c>
      <c r="L719" s="438"/>
      <c r="M719" s="438"/>
      <c r="N719" s="438"/>
      <c r="O719" s="438"/>
      <c r="P719" s="438"/>
      <c r="Q719" s="438"/>
      <c r="R719" s="438"/>
      <c r="S719" s="438"/>
      <c r="T719" s="438"/>
      <c r="U719" s="438"/>
    </row>
    <row r="720" spans="1:21" ht="19.5" x14ac:dyDescent="0.3">
      <c r="A720" s="431"/>
      <c r="B720" s="433"/>
      <c r="C720" s="433"/>
      <c r="D720" s="434"/>
      <c r="E720" s="434"/>
      <c r="F720" s="434"/>
      <c r="G720" s="435"/>
      <c r="H720" s="457" t="s">
        <v>46</v>
      </c>
      <c r="I720" s="458">
        <f ca="1">IFERROR(__xludf.DUMMYFUNCTION("IMPORTRANGE(""https://docs.google.com/spreadsheets/d/12pGRKgvn2b31Uz_fjAl3XPzZUM_F2_O-zAHL2XHEPZg/edit?usp=sharing"",""รวมเหนือ!I727"")+IMPORTRANGE(""https://docs.google.com/spreadsheets/d/1c0UfJUA6nE6esVMy0kRcX_PENtt96DMxicQpqi3tips/edit?usp=sharing"","""&amp;"รวมตะวันออกเฉียงเหนือ!I727"")+IMPORTRANGE(""https://docs.google.com/spreadsheets/d/1iNWbYmj0agxPDl_yJgGu1eIremFPVMUuMWUKAjBzvrk/edit?usp=sharing"",""รวมกลาง!I727"")+IMPORTRANGE(""https://docs.google.com/spreadsheets/d/1uenpWDAH2bchvfvsSIjpd4bRU5D1faxJOaE3"&amp;"4GQM5-c/edit?usp=sharing"",""รวมใต้!I727"")"),45000)</f>
        <v>45000</v>
      </c>
      <c r="J720" s="458">
        <f ca="1">J745+J748</f>
        <v>41473.9</v>
      </c>
      <c r="K720" s="459">
        <f t="shared" ca="1" si="472"/>
        <v>92.164222222222222</v>
      </c>
      <c r="L720" s="438"/>
      <c r="M720" s="438"/>
      <c r="N720" s="438"/>
      <c r="O720" s="438"/>
      <c r="P720" s="438"/>
      <c r="Q720" s="438"/>
      <c r="R720" s="438"/>
      <c r="S720" s="438"/>
      <c r="T720" s="438"/>
      <c r="U720" s="438"/>
    </row>
    <row r="721" spans="1:21" ht="19.5" x14ac:dyDescent="0.3">
      <c r="A721" s="142"/>
      <c r="B721" s="170"/>
      <c r="C721" s="143" t="s">
        <v>18</v>
      </c>
      <c r="D721" s="538" t="s">
        <v>19</v>
      </c>
      <c r="E721" s="535"/>
      <c r="F721" s="535"/>
      <c r="G721" s="536"/>
      <c r="H721" s="227" t="s">
        <v>14</v>
      </c>
      <c r="I721" s="40"/>
      <c r="J721" s="40"/>
      <c r="K721" s="41"/>
      <c r="L721" s="146">
        <f t="shared" ref="L721:N721" ca="1" si="473">L722+L723</f>
        <v>0</v>
      </c>
      <c r="M721" s="146">
        <f t="shared" ca="1" si="473"/>
        <v>0</v>
      </c>
      <c r="N721" s="146">
        <f t="shared" ca="1" si="473"/>
        <v>0</v>
      </c>
      <c r="O721" s="146">
        <f t="shared" ref="O721:O729" ca="1" si="474">IF(L721&gt;0,N721*100/L721,0)</f>
        <v>0</v>
      </c>
      <c r="P721" s="146">
        <f t="shared" ref="P721:P729" ca="1" si="475">IF(M721&gt;0,N721*100/M721,0)</f>
        <v>0</v>
      </c>
      <c r="Q721" s="146">
        <f t="shared" ref="Q721:S721" ca="1" si="476">Q722+Q723</f>
        <v>39499060</v>
      </c>
      <c r="R721" s="146">
        <f t="shared" ca="1" si="476"/>
        <v>39499060</v>
      </c>
      <c r="S721" s="146">
        <f t="shared" ca="1" si="476"/>
        <v>30522947.469999999</v>
      </c>
      <c r="T721" s="146">
        <f t="shared" ref="T721:T729" ca="1" si="477">IF(Q721&gt;0,S721*100/Q721,0)</f>
        <v>77.275123686487731</v>
      </c>
      <c r="U721" s="146">
        <f t="shared" ref="U721:U729" ca="1" si="478">IF(R721&gt;0,S721*100/R721,0)</f>
        <v>77.275123686487731</v>
      </c>
    </row>
    <row r="722" spans="1:21" ht="18.75" x14ac:dyDescent="0.25">
      <c r="A722" s="142"/>
      <c r="B722" s="170"/>
      <c r="C722" s="170"/>
      <c r="D722" s="159"/>
      <c r="E722" s="43" t="s">
        <v>165</v>
      </c>
      <c r="F722" s="36"/>
      <c r="G722" s="38"/>
      <c r="H722" s="148" t="s">
        <v>14</v>
      </c>
      <c r="I722" s="40"/>
      <c r="J722" s="40"/>
      <c r="K722" s="41"/>
      <c r="L722" s="42">
        <f t="shared" ref="L722:N722" ca="1" si="479">L725+L728</f>
        <v>0</v>
      </c>
      <c r="M722" s="42">
        <f t="shared" ca="1" si="479"/>
        <v>0</v>
      </c>
      <c r="N722" s="42">
        <f t="shared" ca="1" si="479"/>
        <v>0</v>
      </c>
      <c r="O722" s="42">
        <f t="shared" ca="1" si="474"/>
        <v>0</v>
      </c>
      <c r="P722" s="42">
        <f t="shared" ca="1" si="475"/>
        <v>0</v>
      </c>
      <c r="Q722" s="42">
        <f ca="1">IFERROR(__xludf.DUMMYFUNCTION("IMPORTRANGE(""https://docs.google.com/spreadsheets/d/1ItG2mGa2ceCfYo0BwxsXqNm01IGEUdYcSSLTEv9YCik/edit?usp=sharing"",""เบิกจ่ายกองทุน!O11"")"),2877680)</f>
        <v>2877680</v>
      </c>
      <c r="R722" s="42">
        <f ca="1">IFERROR(__xludf.DUMMYFUNCTION("IMPORTRANGE(""https://docs.google.com/spreadsheets/d/1ItG2mGa2ceCfYo0BwxsXqNm01IGEUdYcSSLTEv9YCik/edit?usp=sharing"",""เบิกจ่ายกองทุน!P11"")"),2680340)</f>
        <v>2680340</v>
      </c>
      <c r="S722" s="42">
        <f ca="1">IFERROR(__xludf.DUMMYFUNCTION("IMPORTRANGE(""https://docs.google.com/spreadsheets/d/1ItG2mGa2ceCfYo0BwxsXqNm01IGEUdYcSSLTEv9YCik/edit?usp=sharing"",""เบิกจ่ายกองทุน!Q11"")"),943993.4)</f>
        <v>943993.4</v>
      </c>
      <c r="T722" s="42">
        <f t="shared" ca="1" si="477"/>
        <v>32.803974034639012</v>
      </c>
      <c r="U722" s="42">
        <f t="shared" ca="1" si="478"/>
        <v>35.219166225180388</v>
      </c>
    </row>
    <row r="723" spans="1:21" ht="18.75" x14ac:dyDescent="0.25">
      <c r="A723" s="142"/>
      <c r="B723" s="170"/>
      <c r="C723" s="170"/>
      <c r="D723" s="159"/>
      <c r="E723" s="43" t="s">
        <v>166</v>
      </c>
      <c r="F723" s="36"/>
      <c r="G723" s="38"/>
      <c r="H723" s="148" t="s">
        <v>14</v>
      </c>
      <c r="I723" s="40"/>
      <c r="J723" s="40"/>
      <c r="K723" s="41"/>
      <c r="L723" s="42">
        <f t="shared" ref="L723:N723" ca="1" si="480">L726+L729</f>
        <v>0</v>
      </c>
      <c r="M723" s="42">
        <f t="shared" ca="1" si="480"/>
        <v>0</v>
      </c>
      <c r="N723" s="42">
        <f t="shared" ca="1" si="480"/>
        <v>0</v>
      </c>
      <c r="O723" s="42">
        <f t="shared" ca="1" si="474"/>
        <v>0</v>
      </c>
      <c r="P723" s="42">
        <f t="shared" ca="1" si="475"/>
        <v>0</v>
      </c>
      <c r="Q723" s="42">
        <f ca="1">IFERROR(__xludf.DUMMYFUNCTION("IMPORTRANGE(""https://docs.google.com/spreadsheets/d/12pGRKgvn2b31Uz_fjAl3XPzZUM_F2_O-zAHL2XHEPZg/edit?usp=sharing"",""รวมเหนือ!Q733"")+IMPORTRANGE(""https://docs.google.com/spreadsheets/d/1c0UfJUA6nE6esVMy0kRcX_PENtt96DMxicQpqi3tips/edit?usp=sharing"","""&amp;"รวมตะวันออกเฉียงเหนือ!Q733"")+IMPORTRANGE(""https://docs.google.com/spreadsheets/d/1iNWbYmj0agxPDl_yJgGu1eIremFPVMUuMWUKAjBzvrk/edit?usp=sharing"",""รวมกลาง!Q733"")+IMPORTRANGE(""https://docs.google.com/spreadsheets/d/1uenpWDAH2bchvfvsSIjpd4bRU5D1faxJOaE3"&amp;"4GQM5-c/edit?usp=sharing"",""รวมใต้!Q733"")"),36621380)</f>
        <v>36621380</v>
      </c>
      <c r="R723" s="42">
        <f ca="1">IFERROR(__xludf.DUMMYFUNCTION("IMPORTRANGE(""https://docs.google.com/spreadsheets/d/12pGRKgvn2b31Uz_fjAl3XPzZUM_F2_O-zAHL2XHEPZg/edit?usp=sharing"",""รวมเหนือ!R733"")+IMPORTRANGE(""https://docs.google.com/spreadsheets/d/1c0UfJUA6nE6esVMy0kRcX_PENtt96DMxicQpqi3tips/edit?usp=sharing"","""&amp;"รวมตะวันออกเฉียงเหนือ!R733"")+IMPORTRANGE(""https://docs.google.com/spreadsheets/d/1iNWbYmj0agxPDl_yJgGu1eIremFPVMUuMWUKAjBzvrk/edit?usp=sharing"",""รวมกลาง!R733"")+IMPORTRANGE(""https://docs.google.com/spreadsheets/d/1uenpWDAH2bchvfvsSIjpd4bRU5D1faxJOaE3"&amp;"4GQM5-c/edit?usp=sharing"",""รวมใต้!R733"")"),36818720)</f>
        <v>36818720</v>
      </c>
      <c r="S723" s="42">
        <f ca="1">IFERROR(__xludf.DUMMYFUNCTION("IMPORTRANGE(""https://docs.google.com/spreadsheets/d/12pGRKgvn2b31Uz_fjAl3XPzZUM_F2_O-zAHL2XHEPZg/edit?usp=sharing"",""รวมเหนือ!S733"")+IMPORTRANGE(""https://docs.google.com/spreadsheets/d/1c0UfJUA6nE6esVMy0kRcX_PENtt96DMxicQpqi3tips/edit?usp=sharing"","""&amp;"รวมตะวันออกเฉียงเหนือ!S733"")+IMPORTRANGE(""https://docs.google.com/spreadsheets/d/1iNWbYmj0agxPDl_yJgGu1eIremFPVMUuMWUKAjBzvrk/edit?usp=sharing"",""รวมกลาง!S733"")+IMPORTRANGE(""https://docs.google.com/spreadsheets/d/1uenpWDAH2bchvfvsSIjpd4bRU5D1faxJOaE3"&amp;"4GQM5-c/edit?usp=sharing"",""รวมใต้!S733"")"),29578954.07)</f>
        <v>29578954.07</v>
      </c>
      <c r="T723" s="42">
        <f t="shared" ca="1" si="477"/>
        <v>80.769632575287986</v>
      </c>
      <c r="U723" s="42">
        <f t="shared" ca="1" si="478"/>
        <v>80.33672563847955</v>
      </c>
    </row>
    <row r="724" spans="1:21" ht="18.75" x14ac:dyDescent="0.25">
      <c r="A724" s="142"/>
      <c r="B724" s="170"/>
      <c r="C724" s="170"/>
      <c r="D724" s="37" t="s">
        <v>22</v>
      </c>
      <c r="E724" s="36"/>
      <c r="F724" s="36"/>
      <c r="G724" s="38"/>
      <c r="H724" s="148" t="s">
        <v>14</v>
      </c>
      <c r="I724" s="149"/>
      <c r="J724" s="149"/>
      <c r="K724" s="150"/>
      <c r="L724" s="42">
        <f t="shared" ref="L724:N724" ca="1" si="481">L725+L726</f>
        <v>0</v>
      </c>
      <c r="M724" s="42">
        <f t="shared" ca="1" si="481"/>
        <v>0</v>
      </c>
      <c r="N724" s="42">
        <f t="shared" ca="1" si="481"/>
        <v>0</v>
      </c>
      <c r="O724" s="42">
        <f t="shared" ca="1" si="474"/>
        <v>0</v>
      </c>
      <c r="P724" s="42">
        <f t="shared" ca="1" si="475"/>
        <v>0</v>
      </c>
      <c r="Q724" s="42">
        <f t="shared" ref="Q724:S724" si="482">Q725+Q726</f>
        <v>0</v>
      </c>
      <c r="R724" s="42">
        <f t="shared" si="482"/>
        <v>0</v>
      </c>
      <c r="S724" s="42">
        <f t="shared" si="482"/>
        <v>0</v>
      </c>
      <c r="T724" s="42">
        <f t="shared" si="477"/>
        <v>0</v>
      </c>
      <c r="U724" s="42">
        <f t="shared" si="478"/>
        <v>0</v>
      </c>
    </row>
    <row r="725" spans="1:21" ht="18.75" x14ac:dyDescent="0.25">
      <c r="A725" s="142"/>
      <c r="B725" s="170"/>
      <c r="C725" s="170"/>
      <c r="D725" s="159"/>
      <c r="E725" s="43" t="s">
        <v>165</v>
      </c>
      <c r="F725" s="36"/>
      <c r="G725" s="38"/>
      <c r="H725" s="148" t="s">
        <v>14</v>
      </c>
      <c r="I725" s="40"/>
      <c r="J725" s="40"/>
      <c r="K725" s="41"/>
      <c r="L725" s="42">
        <f ca="1">IFERROR(__xludf.DUMMYFUNCTION("IMPORTRANGE(""https://docs.google.com/spreadsheets/d/12pGRKgvn2b31Uz_fjAl3XPzZUM_F2_O-zAHL2XHEPZg/edit?usp=sharing"",""รวมเหนือ!L732"")+IMPORTRANGE(""https://docs.google.com/spreadsheets/d/1c0UfJUA6nE6esVMy0kRcX_PENtt96DMxicQpqi3tips/edit?usp=sharing"","""&amp;"รวมตะวันออกเฉียงเหนือ!L732"")+IMPORTRANGE(""https://docs.google.com/spreadsheets/d/1iNWbYmj0agxPDl_yJgGu1eIremFPVMUuMWUKAjBzvrk/edit?usp=sharing"",""รวมกลาง!L732"")+IMPORTRANGE(""https://docs.google.com/spreadsheets/d/1uenpWDAH2bchvfvsSIjpd4bRU5D1faxJOaE3"&amp;"4GQM5-c/edit?usp=sharing"",""รวมใต้!L732"")"),0)</f>
        <v>0</v>
      </c>
      <c r="M725" s="42">
        <f ca="1">IFERROR(__xludf.DUMMYFUNCTION("IMPORTRANGE(""https://docs.google.com/spreadsheets/d/12pGRKgvn2b31Uz_fjAl3XPzZUM_F2_O-zAHL2XHEPZg/edit?usp=sharing"",""รวมเหนือ!M732"")+IMPORTRANGE(""https://docs.google.com/spreadsheets/d/1c0UfJUA6nE6esVMy0kRcX_PENtt96DMxicQpqi3tips/edit?usp=sharing"","""&amp;"รวมตะวันออกเฉียงเหนือ!M732"")+IMPORTRANGE(""https://docs.google.com/spreadsheets/d/1iNWbYmj0agxPDl_yJgGu1eIremFPVMUuMWUKAjBzvrk/edit?usp=sharing"",""รวมกลาง!M732"")+IMPORTRANGE(""https://docs.google.com/spreadsheets/d/1uenpWDAH2bchvfvsSIjpd4bRU5D1faxJOaE3"&amp;"4GQM5-c/edit?usp=sharing"",""รวมใต้!M732"")"),0)</f>
        <v>0</v>
      </c>
      <c r="N725" s="42">
        <f ca="1">IFERROR(__xludf.DUMMYFUNCTION("IMPORTRANGE(""https://docs.google.com/spreadsheets/d/12pGRKgvn2b31Uz_fjAl3XPzZUM_F2_O-zAHL2XHEPZg/edit?usp=sharing"",""รวมเหนือ!N732"")+IMPORTRANGE(""https://docs.google.com/spreadsheets/d/1c0UfJUA6nE6esVMy0kRcX_PENtt96DMxicQpqi3tips/edit?usp=sharing"","""&amp;"รวมตะวันออกเฉียงเหนือ!N732"")+IMPORTRANGE(""https://docs.google.com/spreadsheets/d/1iNWbYmj0agxPDl_yJgGu1eIremFPVMUuMWUKAjBzvrk/edit?usp=sharing"",""รวมกลาง!N732"")+IMPORTRANGE(""https://docs.google.com/spreadsheets/d/1uenpWDAH2bchvfvsSIjpd4bRU5D1faxJOaE3"&amp;"4GQM5-c/edit?usp=sharing"",""รวมใต้!N732"")"),0)</f>
        <v>0</v>
      </c>
      <c r="O725" s="42">
        <f t="shared" ca="1" si="474"/>
        <v>0</v>
      </c>
      <c r="P725" s="42">
        <f t="shared" ca="1" si="475"/>
        <v>0</v>
      </c>
      <c r="Q725" s="42">
        <v>0</v>
      </c>
      <c r="R725" s="42">
        <v>0</v>
      </c>
      <c r="S725" s="42">
        <v>0</v>
      </c>
      <c r="T725" s="42">
        <f t="shared" si="477"/>
        <v>0</v>
      </c>
      <c r="U725" s="42">
        <f t="shared" si="478"/>
        <v>0</v>
      </c>
    </row>
    <row r="726" spans="1:21" ht="18.75" x14ac:dyDescent="0.25">
      <c r="A726" s="142"/>
      <c r="B726" s="170"/>
      <c r="C726" s="170"/>
      <c r="D726" s="159"/>
      <c r="E726" s="43" t="s">
        <v>166</v>
      </c>
      <c r="F726" s="36"/>
      <c r="G726" s="38"/>
      <c r="H726" s="148" t="s">
        <v>14</v>
      </c>
      <c r="I726" s="40"/>
      <c r="J726" s="40"/>
      <c r="K726" s="41"/>
      <c r="L726" s="42">
        <f ca="1">IFERROR(__xludf.DUMMYFUNCTION("IMPORTRANGE(""https://docs.google.com/spreadsheets/d/12pGRKgvn2b31Uz_fjAl3XPzZUM_F2_O-zAHL2XHEPZg/edit?usp=sharing"",""รวมเหนือ!L733"")+IMPORTRANGE(""https://docs.google.com/spreadsheets/d/1c0UfJUA6nE6esVMy0kRcX_PENtt96DMxicQpqi3tips/edit?usp=sharing"","""&amp;"รวมตะวันออกเฉียงเหนือ!L733"")+IMPORTRANGE(""https://docs.google.com/spreadsheets/d/1iNWbYmj0agxPDl_yJgGu1eIremFPVMUuMWUKAjBzvrk/edit?usp=sharing"",""รวมกลาง!L733"")+IMPORTRANGE(""https://docs.google.com/spreadsheets/d/1uenpWDAH2bchvfvsSIjpd4bRU5D1faxJOaE3"&amp;"4GQM5-c/edit?usp=sharing"",""รวมใต้!L733"")"),0)</f>
        <v>0</v>
      </c>
      <c r="M726" s="42">
        <f ca="1">IFERROR(__xludf.DUMMYFUNCTION("IMPORTRANGE(""https://docs.google.com/spreadsheets/d/12pGRKgvn2b31Uz_fjAl3XPzZUM_F2_O-zAHL2XHEPZg/edit?usp=sharing"",""รวมเหนือ!M733"")+IMPORTRANGE(""https://docs.google.com/spreadsheets/d/1c0UfJUA6nE6esVMy0kRcX_PENtt96DMxicQpqi3tips/edit?usp=sharing"","""&amp;"รวมตะวันออกเฉียงเหนือ!M733"")+IMPORTRANGE(""https://docs.google.com/spreadsheets/d/1iNWbYmj0agxPDl_yJgGu1eIremFPVMUuMWUKAjBzvrk/edit?usp=sharing"",""รวมกลาง!M733"")+IMPORTRANGE(""https://docs.google.com/spreadsheets/d/1uenpWDAH2bchvfvsSIjpd4bRU5D1faxJOaE3"&amp;"4GQM5-c/edit?usp=sharing"",""รวมใต้!M733"")"),0)</f>
        <v>0</v>
      </c>
      <c r="N726" s="42">
        <f ca="1">IFERROR(__xludf.DUMMYFUNCTION("IMPORTRANGE(""https://docs.google.com/spreadsheets/d/12pGRKgvn2b31Uz_fjAl3XPzZUM_F2_O-zAHL2XHEPZg/edit?usp=sharing"",""รวมเหนือ!N733"")+IMPORTRANGE(""https://docs.google.com/spreadsheets/d/1c0UfJUA6nE6esVMy0kRcX_PENtt96DMxicQpqi3tips/edit?usp=sharing"","""&amp;"รวมตะวันออกเฉียงเหนือ!N733"")+IMPORTRANGE(""https://docs.google.com/spreadsheets/d/1iNWbYmj0agxPDl_yJgGu1eIremFPVMUuMWUKAjBzvrk/edit?usp=sharing"",""รวมกลาง!N733"")+IMPORTRANGE(""https://docs.google.com/spreadsheets/d/1uenpWDAH2bchvfvsSIjpd4bRU5D1faxJOaE3"&amp;"4GQM5-c/edit?usp=sharing"",""รวมใต้!N733"")"),0)</f>
        <v>0</v>
      </c>
      <c r="O726" s="42">
        <f t="shared" ca="1" si="474"/>
        <v>0</v>
      </c>
      <c r="P726" s="42">
        <f t="shared" ca="1" si="475"/>
        <v>0</v>
      </c>
      <c r="Q726" s="42">
        <v>0</v>
      </c>
      <c r="R726" s="42">
        <v>0</v>
      </c>
      <c r="S726" s="42">
        <v>0</v>
      </c>
      <c r="T726" s="42">
        <f t="shared" si="477"/>
        <v>0</v>
      </c>
      <c r="U726" s="42">
        <f t="shared" si="478"/>
        <v>0</v>
      </c>
    </row>
    <row r="727" spans="1:21" ht="18.75" x14ac:dyDescent="0.25">
      <c r="A727" s="142"/>
      <c r="B727" s="170"/>
      <c r="C727" s="170"/>
      <c r="D727" s="37" t="s">
        <v>23</v>
      </c>
      <c r="E727" s="170"/>
      <c r="F727" s="170"/>
      <c r="G727" s="38"/>
      <c r="H727" s="151" t="s">
        <v>14</v>
      </c>
      <c r="I727" s="149"/>
      <c r="J727" s="149"/>
      <c r="K727" s="150"/>
      <c r="L727" s="42">
        <f t="shared" ref="L727:N727" ca="1" si="483">L728+L729</f>
        <v>0</v>
      </c>
      <c r="M727" s="42">
        <f t="shared" ca="1" si="483"/>
        <v>0</v>
      </c>
      <c r="N727" s="42">
        <f t="shared" ca="1" si="483"/>
        <v>0</v>
      </c>
      <c r="O727" s="42">
        <f t="shared" ca="1" si="474"/>
        <v>0</v>
      </c>
      <c r="P727" s="42">
        <f t="shared" ca="1" si="475"/>
        <v>0</v>
      </c>
      <c r="Q727" s="42">
        <f t="shared" ref="Q727:S727" ca="1" si="484">Q728+Q729</f>
        <v>0</v>
      </c>
      <c r="R727" s="42">
        <f t="shared" ca="1" si="484"/>
        <v>0</v>
      </c>
      <c r="S727" s="42">
        <f t="shared" ca="1" si="484"/>
        <v>0</v>
      </c>
      <c r="T727" s="42">
        <f t="shared" ca="1" si="477"/>
        <v>0</v>
      </c>
      <c r="U727" s="42">
        <f t="shared" ca="1" si="478"/>
        <v>0</v>
      </c>
    </row>
    <row r="728" spans="1:21" ht="18.75" x14ac:dyDescent="0.25">
      <c r="A728" s="142"/>
      <c r="B728" s="170"/>
      <c r="C728" s="170"/>
      <c r="D728" s="170"/>
      <c r="E728" s="214" t="s">
        <v>20</v>
      </c>
      <c r="F728" s="170"/>
      <c r="G728" s="38"/>
      <c r="H728" s="148" t="s">
        <v>14</v>
      </c>
      <c r="I728" s="149"/>
      <c r="J728" s="149"/>
      <c r="K728" s="150"/>
      <c r="L728" s="42">
        <f ca="1">IFERROR(__xludf.DUMMYFUNCTION("IMPORTRANGE(""https://docs.google.com/spreadsheets/d/12pGRKgvn2b31Uz_fjAl3XPzZUM_F2_O-zAHL2XHEPZg/edit?usp=sharing"",""รวมเหนือ!L735"")+IMPORTRANGE(""https://docs.google.com/spreadsheets/d/1c0UfJUA6nE6esVMy0kRcX_PENtt96DMxicQpqi3tips/edit?usp=sharing"","""&amp;"รวมตะวันออกเฉียงเหนือ!L735"")+IMPORTRANGE(""https://docs.google.com/spreadsheets/d/1iNWbYmj0agxPDl_yJgGu1eIremFPVMUuMWUKAjBzvrk/edit?usp=sharing"",""รวมกลาง!L735"")+IMPORTRANGE(""https://docs.google.com/spreadsheets/d/1uenpWDAH2bchvfvsSIjpd4bRU5D1faxJOaE3"&amp;"4GQM5-c/edit?usp=sharing"",""รวมใต้!L735"")"),0)</f>
        <v>0</v>
      </c>
      <c r="M728" s="42">
        <f ca="1">IFERROR(__xludf.DUMMYFUNCTION("IMPORTRANGE(""https://docs.google.com/spreadsheets/d/12pGRKgvn2b31Uz_fjAl3XPzZUM_F2_O-zAHL2XHEPZg/edit?usp=sharing"",""รวมเหนือ!M735"")+IMPORTRANGE(""https://docs.google.com/spreadsheets/d/1c0UfJUA6nE6esVMy0kRcX_PENtt96DMxicQpqi3tips/edit?usp=sharing"","""&amp;"รวมตะวันออกเฉียงเหนือ!M735"")+IMPORTRANGE(""https://docs.google.com/spreadsheets/d/1iNWbYmj0agxPDl_yJgGu1eIremFPVMUuMWUKAjBzvrk/edit?usp=sharing"",""รวมกลาง!M735"")+IMPORTRANGE(""https://docs.google.com/spreadsheets/d/1uenpWDAH2bchvfvsSIjpd4bRU5D1faxJOaE3"&amp;"4GQM5-c/edit?usp=sharing"",""รวมใต้!M735"")"),0)</f>
        <v>0</v>
      </c>
      <c r="N728" s="42">
        <f ca="1">IFERROR(__xludf.DUMMYFUNCTION("IMPORTRANGE(""https://docs.google.com/spreadsheets/d/12pGRKgvn2b31Uz_fjAl3XPzZUM_F2_O-zAHL2XHEPZg/edit?usp=sharing"",""รวมเหนือ!N735"")+IMPORTRANGE(""https://docs.google.com/spreadsheets/d/1c0UfJUA6nE6esVMy0kRcX_PENtt96DMxicQpqi3tips/edit?usp=sharing"","""&amp;"รวมตะวันออกเฉียงเหนือ!N735"")+IMPORTRANGE(""https://docs.google.com/spreadsheets/d/1iNWbYmj0agxPDl_yJgGu1eIremFPVMUuMWUKAjBzvrk/edit?usp=sharing"",""รวมกลาง!N735"")+IMPORTRANGE(""https://docs.google.com/spreadsheets/d/1uenpWDAH2bchvfvsSIjpd4bRU5D1faxJOaE3"&amp;"4GQM5-c/edit?usp=sharing"",""รวมใต้!N735"")"),0)</f>
        <v>0</v>
      </c>
      <c r="O728" s="42">
        <f t="shared" ca="1" si="474"/>
        <v>0</v>
      </c>
      <c r="P728" s="42">
        <f t="shared" ca="1" si="475"/>
        <v>0</v>
      </c>
      <c r="Q728" s="42">
        <v>0</v>
      </c>
      <c r="R728" s="42">
        <v>0</v>
      </c>
      <c r="S728" s="42">
        <v>0</v>
      </c>
      <c r="T728" s="42">
        <f t="shared" si="477"/>
        <v>0</v>
      </c>
      <c r="U728" s="42">
        <f t="shared" si="478"/>
        <v>0</v>
      </c>
    </row>
    <row r="729" spans="1:21" ht="18.75" x14ac:dyDescent="0.25">
      <c r="A729" s="142"/>
      <c r="B729" s="170"/>
      <c r="C729" s="170"/>
      <c r="D729" s="170"/>
      <c r="E729" s="214" t="s">
        <v>21</v>
      </c>
      <c r="F729" s="170"/>
      <c r="G729" s="38"/>
      <c r="H729" s="151" t="s">
        <v>14</v>
      </c>
      <c r="I729" s="149"/>
      <c r="J729" s="149"/>
      <c r="K729" s="150"/>
      <c r="L729" s="42">
        <f ca="1">IFERROR(__xludf.DUMMYFUNCTION("IMPORTRANGE(""https://docs.google.com/spreadsheets/d/12pGRKgvn2b31Uz_fjAl3XPzZUM_F2_O-zAHL2XHEPZg/edit?usp=sharing"",""รวมเหนือ!L736"")+IMPORTRANGE(""https://docs.google.com/spreadsheets/d/1c0UfJUA6nE6esVMy0kRcX_PENtt96DMxicQpqi3tips/edit?usp=sharing"","""&amp;"รวมตะวันออกเฉียงเหนือ!L736"")+IMPORTRANGE(""https://docs.google.com/spreadsheets/d/1iNWbYmj0agxPDl_yJgGu1eIremFPVMUuMWUKAjBzvrk/edit?usp=sharing"",""รวมกลาง!L736"")+IMPORTRANGE(""https://docs.google.com/spreadsheets/d/1uenpWDAH2bchvfvsSIjpd4bRU5D1faxJOaE3"&amp;"4GQM5-c/edit?usp=sharing"",""รวมใต้!L736"")"),0)</f>
        <v>0</v>
      </c>
      <c r="M729" s="42">
        <f ca="1">IFERROR(__xludf.DUMMYFUNCTION("IMPORTRANGE(""https://docs.google.com/spreadsheets/d/12pGRKgvn2b31Uz_fjAl3XPzZUM_F2_O-zAHL2XHEPZg/edit?usp=sharing"",""รวมเหนือ!M736"")+IMPORTRANGE(""https://docs.google.com/spreadsheets/d/1c0UfJUA6nE6esVMy0kRcX_PENtt96DMxicQpqi3tips/edit?usp=sharing"","""&amp;"รวมตะวันออกเฉียงเหนือ!M736"")+IMPORTRANGE(""https://docs.google.com/spreadsheets/d/1iNWbYmj0agxPDl_yJgGu1eIremFPVMUuMWUKAjBzvrk/edit?usp=sharing"",""รวมกลาง!M736"")+IMPORTRANGE(""https://docs.google.com/spreadsheets/d/1uenpWDAH2bchvfvsSIjpd4bRU5D1faxJOaE3"&amp;"4GQM5-c/edit?usp=sharing"",""รวมใต้!M736"")"),0)</f>
        <v>0</v>
      </c>
      <c r="N729" s="42">
        <f ca="1">IFERROR(__xludf.DUMMYFUNCTION("IMPORTRANGE(""https://docs.google.com/spreadsheets/d/12pGRKgvn2b31Uz_fjAl3XPzZUM_F2_O-zAHL2XHEPZg/edit?usp=sharing"",""รวมเหนือ!N736"")+IMPORTRANGE(""https://docs.google.com/spreadsheets/d/1c0UfJUA6nE6esVMy0kRcX_PENtt96DMxicQpqi3tips/edit?usp=sharing"","""&amp;"รวมตะวันออกเฉียงเหนือ!N736"")+IMPORTRANGE(""https://docs.google.com/spreadsheets/d/1iNWbYmj0agxPDl_yJgGu1eIremFPVMUuMWUKAjBzvrk/edit?usp=sharing"",""รวมกลาง!N736"")+IMPORTRANGE(""https://docs.google.com/spreadsheets/d/1uenpWDAH2bchvfvsSIjpd4bRU5D1faxJOaE3"&amp;"4GQM5-c/edit?usp=sharing"",""รวมใต้!N736"")"),0)</f>
        <v>0</v>
      </c>
      <c r="O729" s="42">
        <f t="shared" ca="1" si="474"/>
        <v>0</v>
      </c>
      <c r="P729" s="42">
        <f t="shared" ca="1" si="475"/>
        <v>0</v>
      </c>
      <c r="Q729" s="42">
        <f ca="1">IFERROR(__xludf.DUMMYFUNCTION("IMPORTRANGE(""https://docs.google.com/spreadsheets/d/12pGRKgvn2b31Uz_fjAl3XPzZUM_F2_O-zAHL2XHEPZg/edit?usp=sharing"",""รวมเหนือ!Q736"")+IMPORTRANGE(""https://docs.google.com/spreadsheets/d/1c0UfJUA6nE6esVMy0kRcX_PENtt96DMxicQpqi3tips/edit?usp=sharing"","""&amp;"รวมตะวันออกเฉียงเหนือ!Q736"")+IMPORTRANGE(""https://docs.google.com/spreadsheets/d/1iNWbYmj0agxPDl_yJgGu1eIremFPVMUuMWUKAjBzvrk/edit?usp=sharing"",""รวมกลาง!Q736"")+IMPORTRANGE(""https://docs.google.com/spreadsheets/d/1uenpWDAH2bchvfvsSIjpd4bRU5D1faxJOaE3"&amp;"4GQM5-c/edit?usp=sharing"",""รวมใต้!Q736"")"),0)</f>
        <v>0</v>
      </c>
      <c r="R729" s="42">
        <f ca="1">IFERROR(__xludf.DUMMYFUNCTION("IMPORTRANGE(""https://docs.google.com/spreadsheets/d/12pGRKgvn2b31Uz_fjAl3XPzZUM_F2_O-zAHL2XHEPZg/edit?usp=sharing"",""รวมเหนือ!R736"")+IMPORTRANGE(""https://docs.google.com/spreadsheets/d/1c0UfJUA6nE6esVMy0kRcX_PENtt96DMxicQpqi3tips/edit?usp=sharing"","""&amp;"รวมตะวันออกเฉียงเหนือ!R736"")+IMPORTRANGE(""https://docs.google.com/spreadsheets/d/1iNWbYmj0agxPDl_yJgGu1eIremFPVMUuMWUKAjBzvrk/edit?usp=sharing"",""รวมกลาง!R736"")+IMPORTRANGE(""https://docs.google.com/spreadsheets/d/1uenpWDAH2bchvfvsSIjpd4bRU5D1faxJOaE3"&amp;"4GQM5-c/edit?usp=sharing"",""รวมใต้!R736"")"),0)</f>
        <v>0</v>
      </c>
      <c r="S729" s="42">
        <f ca="1">IFERROR(__xludf.DUMMYFUNCTION("IMPORTRANGE(""https://docs.google.com/spreadsheets/d/12pGRKgvn2b31Uz_fjAl3XPzZUM_F2_O-zAHL2XHEPZg/edit?usp=sharing"",""รวมเหนือ!S736"")+IMPORTRANGE(""https://docs.google.com/spreadsheets/d/1c0UfJUA6nE6esVMy0kRcX_PENtt96DMxicQpqi3tips/edit?usp=sharing"","""&amp;"รวมตะวันออกเฉียงเหนือ!S736"")+IMPORTRANGE(""https://docs.google.com/spreadsheets/d/1iNWbYmj0agxPDl_yJgGu1eIremFPVMUuMWUKAjBzvrk/edit?usp=sharing"",""รวมกลาง!S736"")+IMPORTRANGE(""https://docs.google.com/spreadsheets/d/1uenpWDAH2bchvfvsSIjpd4bRU5D1faxJOaE3"&amp;"4GQM5-c/edit?usp=sharing"",""รวมใต้!S736"")"),0)</f>
        <v>0</v>
      </c>
      <c r="T729" s="42">
        <f t="shared" ca="1" si="477"/>
        <v>0</v>
      </c>
      <c r="U729" s="42">
        <f t="shared" ca="1" si="478"/>
        <v>0</v>
      </c>
    </row>
    <row r="730" spans="1:21" ht="19.5" x14ac:dyDescent="0.3">
      <c r="A730" s="152"/>
      <c r="B730" s="153"/>
      <c r="C730" s="143" t="s">
        <v>18</v>
      </c>
      <c r="D730" s="327" t="s">
        <v>38</v>
      </c>
      <c r="E730" s="208"/>
      <c r="F730" s="155"/>
      <c r="G730" s="156"/>
      <c r="H730" s="185"/>
      <c r="I730" s="40"/>
      <c r="J730" s="40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</row>
    <row r="731" spans="1:21" ht="19.5" x14ac:dyDescent="0.3">
      <c r="A731" s="152"/>
      <c r="B731" s="153"/>
      <c r="C731" s="153"/>
      <c r="D731" s="462" t="s">
        <v>122</v>
      </c>
      <c r="E731" s="153"/>
      <c r="F731" s="153"/>
      <c r="G731" s="157"/>
      <c r="H731" s="186"/>
      <c r="I731" s="40"/>
      <c r="J731" s="40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</row>
    <row r="732" spans="1:21" ht="18.75" x14ac:dyDescent="0.25">
      <c r="A732" s="152"/>
      <c r="B732" s="153"/>
      <c r="C732" s="153"/>
      <c r="D732" s="153"/>
      <c r="E732" s="415" t="s">
        <v>272</v>
      </c>
      <c r="F732" s="153"/>
      <c r="G732" s="157"/>
      <c r="H732" s="186"/>
      <c r="I732" s="40"/>
      <c r="J732" s="40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</row>
    <row r="733" spans="1:21" ht="18.75" x14ac:dyDescent="0.25">
      <c r="A733" s="152"/>
      <c r="B733" s="153"/>
      <c r="C733" s="153"/>
      <c r="D733" s="153"/>
      <c r="E733" s="153"/>
      <c r="F733" s="415" t="s">
        <v>273</v>
      </c>
      <c r="G733" s="157"/>
      <c r="H733" s="147" t="s">
        <v>46</v>
      </c>
      <c r="I733" s="176">
        <f ca="1">IFERROR(__xludf.DUMMYFUNCTION("IMPORTRANGE(""https://docs.google.com/spreadsheets/d/12pGRKgvn2b31Uz_fjAl3XPzZUM_F2_O-zAHL2XHEPZg/edit?usp=sharing"",""รวมเหนือ!I740"")+IMPORTRANGE(""https://docs.google.com/spreadsheets/d/1c0UfJUA6nE6esVMy0kRcX_PENtt96DMxicQpqi3tips/edit?usp=sharing"","""&amp;"รวมตะวันออกเฉียงเหนือ!I740"")+IMPORTRANGE(""https://docs.google.com/spreadsheets/d/1iNWbYmj0agxPDl_yJgGu1eIremFPVMUuMWUKAjBzvrk/edit?usp=sharing"",""รวมกลาง!I740"")+IMPORTRANGE(""https://docs.google.com/spreadsheets/d/1uenpWDAH2bchvfvsSIjpd4bRU5D1faxJOaE3"&amp;"4GQM5-c/edit?usp=sharing"",""รวมใต้!I740"")"),36000)</f>
        <v>36000</v>
      </c>
      <c r="J733" s="176">
        <f ca="1">IFERROR(__xludf.DUMMYFUNCTION("IMPORTRANGE(""https://docs.google.com/spreadsheets/d/12pGRKgvn2b31Uz_fjAl3XPzZUM_F2_O-zAHL2XHEPZg/edit?usp=sharing"",""รวมเหนือ!J740"")+IMPORTRANGE(""https://docs.google.com/spreadsheets/d/1c0UfJUA6nE6esVMy0kRcX_PENtt96DMxicQpqi3tips/edit?usp=sharing"","""&amp;"รวมตะวันออกเฉียงเหนือ!J740"")+IMPORTRANGE(""https://docs.google.com/spreadsheets/d/1iNWbYmj0agxPDl_yJgGu1eIremFPVMUuMWUKAjBzvrk/edit?usp=sharing"",""รวมกลาง!J740"")+IMPORTRANGE(""https://docs.google.com/spreadsheets/d/1uenpWDAH2bchvfvsSIjpd4bRU5D1faxJOaE3"&amp;"4GQM5-c/edit?usp=sharing"",""รวมใต้!J740"")"),33431.4699999999)</f>
        <v>33431.469999999899</v>
      </c>
      <c r="K733" s="42">
        <f ca="1">IF(I733&gt;0,J733*100/I733,0)</f>
        <v>92.865194444444157</v>
      </c>
      <c r="L733" s="41"/>
      <c r="M733" s="41"/>
      <c r="N733" s="41"/>
      <c r="O733" s="41"/>
      <c r="P733" s="41"/>
      <c r="Q733" s="41"/>
      <c r="R733" s="41"/>
      <c r="S733" s="41"/>
      <c r="T733" s="41"/>
      <c r="U733" s="41"/>
    </row>
    <row r="734" spans="1:21" ht="18.75" x14ac:dyDescent="0.25">
      <c r="A734" s="152"/>
      <c r="B734" s="153"/>
      <c r="C734" s="153"/>
      <c r="D734" s="153"/>
      <c r="E734" s="153"/>
      <c r="F734" s="415" t="s">
        <v>274</v>
      </c>
      <c r="G734" s="157"/>
      <c r="H734" s="147" t="s">
        <v>35</v>
      </c>
      <c r="I734" s="40"/>
      <c r="J734" s="176">
        <f ca="1">IFERROR(__xludf.DUMMYFUNCTION("IMPORTRANGE(""https://docs.google.com/spreadsheets/d/12pGRKgvn2b31Uz_fjAl3XPzZUM_F2_O-zAHL2XHEPZg/edit?usp=sharing"",""รวมเหนือ!J741"")+IMPORTRANGE(""https://docs.google.com/spreadsheets/d/1c0UfJUA6nE6esVMy0kRcX_PENtt96DMxicQpqi3tips/edit?usp=sharing"","""&amp;"รวมตะวันออกเฉียงเหนือ!J741"")+IMPORTRANGE(""https://docs.google.com/spreadsheets/d/1iNWbYmj0agxPDl_yJgGu1eIremFPVMUuMWUKAjBzvrk/edit?usp=sharing"",""รวมกลาง!J741"")+IMPORTRANGE(""https://docs.google.com/spreadsheets/d/1uenpWDAH2bchvfvsSIjpd4bRU5D1faxJOaE3"&amp;"4GQM5-c/edit?usp=sharing"",""รวมใต้!J741"")"),2734)</f>
        <v>2734</v>
      </c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</row>
    <row r="735" spans="1:21" ht="18.75" x14ac:dyDescent="0.25">
      <c r="A735" s="152"/>
      <c r="B735" s="153"/>
      <c r="C735" s="153"/>
      <c r="D735" s="153"/>
      <c r="E735" s="153"/>
      <c r="F735" s="415" t="s">
        <v>275</v>
      </c>
      <c r="G735" s="157"/>
      <c r="H735" s="147" t="s">
        <v>35</v>
      </c>
      <c r="I735" s="176">
        <f ca="1">IFERROR(__xludf.DUMMYFUNCTION("IMPORTRANGE(""https://docs.google.com/spreadsheets/d/12pGRKgvn2b31Uz_fjAl3XPzZUM_F2_O-zAHL2XHEPZg/edit?usp=sharing"",""รวมเหนือ!I742"")+IMPORTRANGE(""https://docs.google.com/spreadsheets/d/1c0UfJUA6nE6esVMy0kRcX_PENtt96DMxicQpqi3tips/edit?usp=sharing"","""&amp;"รวมตะวันออกเฉียงเหนือ!I742"")+IMPORTRANGE(""https://docs.google.com/spreadsheets/d/1iNWbYmj0agxPDl_yJgGu1eIremFPVMUuMWUKAjBzvrk/edit?usp=sharing"",""รวมกลาง!I742"")+IMPORTRANGE(""https://docs.google.com/spreadsheets/d/1uenpWDAH2bchvfvsSIjpd4bRU5D1faxJOaE3"&amp;"4GQM5-c/edit?usp=sharing"",""รวมใต้!I742"")"),3600)</f>
        <v>3600</v>
      </c>
      <c r="J735" s="176">
        <f ca="1">IFERROR(__xludf.DUMMYFUNCTION("IMPORTRANGE(""https://docs.google.com/spreadsheets/d/12pGRKgvn2b31Uz_fjAl3XPzZUM_F2_O-zAHL2XHEPZg/edit?usp=sharing"",""รวมเหนือ!J742"")+IMPORTRANGE(""https://docs.google.com/spreadsheets/d/1c0UfJUA6nE6esVMy0kRcX_PENtt96DMxicQpqi3tips/edit?usp=sharing"","""&amp;"รวมตะวันออกเฉียงเหนือ!J742"")+IMPORTRANGE(""https://docs.google.com/spreadsheets/d/1iNWbYmj0agxPDl_yJgGu1eIremFPVMUuMWUKAjBzvrk/edit?usp=sharing"",""รวมกลาง!J742"")+IMPORTRANGE(""https://docs.google.com/spreadsheets/d/1uenpWDAH2bchvfvsSIjpd4bRU5D1faxJOaE3"&amp;"4GQM5-c/edit?usp=sharing"",""รวมใต้!J742"")"),4177)</f>
        <v>4177</v>
      </c>
      <c r="K735" s="42">
        <f ca="1">IF(I735&gt;0,J735*100/I735,0)</f>
        <v>116.02777777777777</v>
      </c>
      <c r="L735" s="41"/>
      <c r="M735" s="41"/>
      <c r="N735" s="41"/>
      <c r="O735" s="41"/>
      <c r="P735" s="41"/>
      <c r="Q735" s="41"/>
      <c r="R735" s="41"/>
      <c r="S735" s="41"/>
      <c r="T735" s="41"/>
      <c r="U735" s="41"/>
    </row>
    <row r="736" spans="1:21" ht="18.75" x14ac:dyDescent="0.25">
      <c r="A736" s="152"/>
      <c r="B736" s="153"/>
      <c r="C736" s="153"/>
      <c r="D736" s="153"/>
      <c r="E736" s="415" t="s">
        <v>276</v>
      </c>
      <c r="F736" s="153"/>
      <c r="G736" s="157"/>
      <c r="H736" s="186"/>
      <c r="I736" s="40"/>
      <c r="J736" s="40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</row>
    <row r="737" spans="1:21" ht="18.75" x14ac:dyDescent="0.25">
      <c r="A737" s="152"/>
      <c r="B737" s="153"/>
      <c r="C737" s="153"/>
      <c r="D737" s="153"/>
      <c r="E737" s="153"/>
      <c r="F737" s="415" t="s">
        <v>273</v>
      </c>
      <c r="G737" s="157"/>
      <c r="H737" s="147" t="s">
        <v>46</v>
      </c>
      <c r="I737" s="176">
        <f ca="1">IFERROR(__xludf.DUMMYFUNCTION("IMPORTRANGE(""https://docs.google.com/spreadsheets/d/12pGRKgvn2b31Uz_fjAl3XPzZUM_F2_O-zAHL2XHEPZg/edit?usp=sharing"",""รวมเหนือ!I744"")+IMPORTRANGE(""https://docs.google.com/spreadsheets/d/1c0UfJUA6nE6esVMy0kRcX_PENtt96DMxicQpqi3tips/edit?usp=sharing"","""&amp;"รวมตะวันออกเฉียงเหนือ!I744"")+IMPORTRANGE(""https://docs.google.com/spreadsheets/d/1iNWbYmj0agxPDl_yJgGu1eIremFPVMUuMWUKAjBzvrk/edit?usp=sharing"",""รวมกลาง!I744"")+IMPORTRANGE(""https://docs.google.com/spreadsheets/d/1uenpWDAH2bchvfvsSIjpd4bRU5D1faxJOaE3"&amp;"4GQM5-c/edit?usp=sharing"",""รวมใต้!I744"")"),9000)</f>
        <v>9000</v>
      </c>
      <c r="J737" s="176">
        <f ca="1">IFERROR(__xludf.DUMMYFUNCTION("IMPORTRANGE(""https://docs.google.com/spreadsheets/d/12pGRKgvn2b31Uz_fjAl3XPzZUM_F2_O-zAHL2XHEPZg/edit?usp=sharing"",""รวมเหนือ!J744"")+IMPORTRANGE(""https://docs.google.com/spreadsheets/d/1c0UfJUA6nE6esVMy0kRcX_PENtt96DMxicQpqi3tips/edit?usp=sharing"","""&amp;"รวมตะวันออกเฉียงเหนือ!J744"")+IMPORTRANGE(""https://docs.google.com/spreadsheets/d/1iNWbYmj0agxPDl_yJgGu1eIremFPVMUuMWUKAjBzvrk/edit?usp=sharing"",""รวมกลาง!J744"")+IMPORTRANGE(""https://docs.google.com/spreadsheets/d/1uenpWDAH2bchvfvsSIjpd4bRU5D1faxJOaE3"&amp;"4GQM5-c/edit?usp=sharing"",""รวมใต้!J744"")"),8738.26)</f>
        <v>8738.26</v>
      </c>
      <c r="K737" s="42">
        <f ca="1">IF(I737&gt;0,J737*100/I737,0)</f>
        <v>97.091777777777779</v>
      </c>
      <c r="L737" s="41"/>
      <c r="M737" s="41"/>
      <c r="N737" s="41"/>
      <c r="O737" s="41"/>
      <c r="P737" s="41"/>
      <c r="Q737" s="41"/>
      <c r="R737" s="41"/>
      <c r="S737" s="41"/>
      <c r="T737" s="41"/>
      <c r="U737" s="41"/>
    </row>
    <row r="738" spans="1:21" ht="18.75" x14ac:dyDescent="0.25">
      <c r="A738" s="152"/>
      <c r="B738" s="153"/>
      <c r="C738" s="153"/>
      <c r="D738" s="153"/>
      <c r="E738" s="153"/>
      <c r="F738" s="415" t="s">
        <v>277</v>
      </c>
      <c r="G738" s="157"/>
      <c r="H738" s="147" t="s">
        <v>35</v>
      </c>
      <c r="I738" s="40"/>
      <c r="J738" s="176">
        <f ca="1">IFERROR(__xludf.DUMMYFUNCTION("IMPORTRANGE(""https://docs.google.com/spreadsheets/d/12pGRKgvn2b31Uz_fjAl3XPzZUM_F2_O-zAHL2XHEPZg/edit?usp=sharing"",""รวมเหนือ!J745"")+IMPORTRANGE(""https://docs.google.com/spreadsheets/d/1c0UfJUA6nE6esVMy0kRcX_PENtt96DMxicQpqi3tips/edit?usp=sharing"","""&amp;"รวมตะวันออกเฉียงเหนือ!J745"")+IMPORTRANGE(""https://docs.google.com/spreadsheets/d/1iNWbYmj0agxPDl_yJgGu1eIremFPVMUuMWUKAjBzvrk/edit?usp=sharing"",""รวมกลาง!J745"")+IMPORTRANGE(""https://docs.google.com/spreadsheets/d/1uenpWDAH2bchvfvsSIjpd4bRU5D1faxJOaE3"&amp;"4GQM5-c/edit?usp=sharing"",""รวมใต้!J745"")"),846)</f>
        <v>846</v>
      </c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</row>
    <row r="739" spans="1:21" ht="18.75" x14ac:dyDescent="0.25">
      <c r="A739" s="152"/>
      <c r="B739" s="153"/>
      <c r="C739" s="153"/>
      <c r="D739" s="153"/>
      <c r="E739" s="153"/>
      <c r="F739" s="415" t="s">
        <v>278</v>
      </c>
      <c r="G739" s="157"/>
      <c r="H739" s="147" t="s">
        <v>35</v>
      </c>
      <c r="I739" s="176">
        <f ca="1">IFERROR(__xludf.DUMMYFUNCTION("IMPORTRANGE(""https://docs.google.com/spreadsheets/d/12pGRKgvn2b31Uz_fjAl3XPzZUM_F2_O-zAHL2XHEPZg/edit?usp=sharing"",""รวมเหนือ!I746"")+IMPORTRANGE(""https://docs.google.com/spreadsheets/d/1c0UfJUA6nE6esVMy0kRcX_PENtt96DMxicQpqi3tips/edit?usp=sharing"","""&amp;"รวมตะวันออกเฉียงเหนือ!I746"")+IMPORTRANGE(""https://docs.google.com/spreadsheets/d/1iNWbYmj0agxPDl_yJgGu1eIremFPVMUuMWUKAjBzvrk/edit?usp=sharing"",""รวมกลาง!I746"")+IMPORTRANGE(""https://docs.google.com/spreadsheets/d/1uenpWDAH2bchvfvsSIjpd4bRU5D1faxJOaE3"&amp;"4GQM5-c/edit?usp=sharing"",""รวมใต้!I746"")"),900)</f>
        <v>900</v>
      </c>
      <c r="J739" s="176">
        <f ca="1">IFERROR(__xludf.DUMMYFUNCTION("IMPORTRANGE(""https://docs.google.com/spreadsheets/d/12pGRKgvn2b31Uz_fjAl3XPzZUM_F2_O-zAHL2XHEPZg/edit?usp=sharing"",""รวมเหนือ!J746"")+IMPORTRANGE(""https://docs.google.com/spreadsheets/d/1c0UfJUA6nE6esVMy0kRcX_PENtt96DMxicQpqi3tips/edit?usp=sharing"","""&amp;"รวมตะวันออกเฉียงเหนือ!J746"")+IMPORTRANGE(""https://docs.google.com/spreadsheets/d/1iNWbYmj0agxPDl_yJgGu1eIremFPVMUuMWUKAjBzvrk/edit?usp=sharing"",""รวมกลาง!J746"")+IMPORTRANGE(""https://docs.google.com/spreadsheets/d/1uenpWDAH2bchvfvsSIjpd4bRU5D1faxJOaE3"&amp;"4GQM5-c/edit?usp=sharing"",""รวมใต้!J746"")"),946)</f>
        <v>946</v>
      </c>
      <c r="K739" s="42">
        <f ca="1">IF(I739&gt;0,J739*100/I739,0)</f>
        <v>105.11111111111111</v>
      </c>
      <c r="L739" s="41"/>
      <c r="M739" s="41"/>
      <c r="N739" s="41"/>
      <c r="O739" s="41"/>
      <c r="P739" s="41"/>
      <c r="Q739" s="41"/>
      <c r="R739" s="41"/>
      <c r="S739" s="41"/>
      <c r="T739" s="41"/>
      <c r="U739" s="41"/>
    </row>
    <row r="740" spans="1:21" ht="18.75" x14ac:dyDescent="0.25">
      <c r="A740" s="152"/>
      <c r="B740" s="153"/>
      <c r="C740" s="153"/>
      <c r="D740" s="153"/>
      <c r="E740" s="415" t="s">
        <v>279</v>
      </c>
      <c r="F740" s="159"/>
      <c r="G740" s="157"/>
      <c r="H740" s="186"/>
      <c r="I740" s="40"/>
      <c r="J740" s="40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</row>
    <row r="741" spans="1:21" ht="18.75" x14ac:dyDescent="0.25">
      <c r="A741" s="152"/>
      <c r="B741" s="153"/>
      <c r="C741" s="153"/>
      <c r="D741" s="153"/>
      <c r="E741" s="153"/>
      <c r="F741" s="415" t="s">
        <v>280</v>
      </c>
      <c r="G741" s="157"/>
      <c r="H741" s="147" t="s">
        <v>35</v>
      </c>
      <c r="I741" s="40"/>
      <c r="J741" s="176">
        <f ca="1">IFERROR(__xludf.DUMMYFUNCTION("IMPORTRANGE(""https://docs.google.com/spreadsheets/d/12pGRKgvn2b31Uz_fjAl3XPzZUM_F2_O-zAHL2XHEPZg/edit?usp=sharing"",""รวมเหนือ!J748"")+IMPORTRANGE(""https://docs.google.com/spreadsheets/d/1c0UfJUA6nE6esVMy0kRcX_PENtt96DMxicQpqi3tips/edit?usp=sharing"","""&amp;"รวมตะวันออกเฉียงเหนือ!J748"")+IMPORTRANGE(""https://docs.google.com/spreadsheets/d/1iNWbYmj0agxPDl_yJgGu1eIremFPVMUuMWUKAjBzvrk/edit?usp=sharing"",""รวมกลาง!J748"")+IMPORTRANGE(""https://docs.google.com/spreadsheets/d/1uenpWDAH2bchvfvsSIjpd4bRU5D1faxJOaE3"&amp;"4GQM5-c/edit?usp=sharing"",""รวมใต้!J748"")"),168)</f>
        <v>168</v>
      </c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</row>
    <row r="742" spans="1:21" ht="18.75" x14ac:dyDescent="0.25">
      <c r="A742" s="152"/>
      <c r="B742" s="153"/>
      <c r="C742" s="153"/>
      <c r="D742" s="153"/>
      <c r="E742" s="153"/>
      <c r="F742" s="415" t="s">
        <v>281</v>
      </c>
      <c r="G742" s="157"/>
      <c r="H742" s="147" t="s">
        <v>35</v>
      </c>
      <c r="I742" s="176">
        <f ca="1">IFERROR(__xludf.DUMMYFUNCTION("IMPORTRANGE(""https://docs.google.com/spreadsheets/d/12pGRKgvn2b31Uz_fjAl3XPzZUM_F2_O-zAHL2XHEPZg/edit?usp=sharing"",""รวมเหนือ!I749"")+IMPORTRANGE(""https://docs.google.com/spreadsheets/d/1c0UfJUA6nE6esVMy0kRcX_PENtt96DMxicQpqi3tips/edit?usp=sharing"","""&amp;"รวมตะวันออกเฉียงเหนือ!I749"")+IMPORTRANGE(""https://docs.google.com/spreadsheets/d/1iNWbYmj0agxPDl_yJgGu1eIremFPVMUuMWUKAjBzvrk/edit?usp=sharing"",""รวมกลาง!I749"")+IMPORTRANGE(""https://docs.google.com/spreadsheets/d/1uenpWDAH2bchvfvsSIjpd4bRU5D1faxJOaE3"&amp;"4GQM5-c/edit?usp=sharing"",""รวมใต้!I749"")"),125)</f>
        <v>125</v>
      </c>
      <c r="J742" s="176">
        <f ca="1">IFERROR(__xludf.DUMMYFUNCTION("IMPORTRANGE(""https://docs.google.com/spreadsheets/d/12pGRKgvn2b31Uz_fjAl3XPzZUM_F2_O-zAHL2XHEPZg/edit?usp=sharing"",""รวมเหนือ!J749"")+IMPORTRANGE(""https://docs.google.com/spreadsheets/d/1c0UfJUA6nE6esVMy0kRcX_PENtt96DMxicQpqi3tips/edit?usp=sharing"","""&amp;"รวมตะวันออกเฉียงเหนือ!J749"")+IMPORTRANGE(""https://docs.google.com/spreadsheets/d/1iNWbYmj0agxPDl_yJgGu1eIremFPVMUuMWUKAjBzvrk/edit?usp=sharing"",""รวมกลาง!J749"")+IMPORTRANGE(""https://docs.google.com/spreadsheets/d/1uenpWDAH2bchvfvsSIjpd4bRU5D1faxJOaE3"&amp;"4GQM5-c/edit?usp=sharing"",""รวมใต้!J749"")"),116)</f>
        <v>116</v>
      </c>
      <c r="K742" s="42">
        <f ca="1">IF(I742&gt;0,J742*100/I742,0)</f>
        <v>92.8</v>
      </c>
      <c r="L742" s="41"/>
      <c r="M742" s="41"/>
      <c r="N742" s="41"/>
      <c r="O742" s="41"/>
      <c r="P742" s="41"/>
      <c r="Q742" s="41"/>
      <c r="R742" s="41"/>
      <c r="S742" s="41"/>
      <c r="T742" s="41"/>
      <c r="U742" s="41"/>
    </row>
    <row r="743" spans="1:21" ht="19.5" x14ac:dyDescent="0.3">
      <c r="A743" s="152"/>
      <c r="B743" s="153"/>
      <c r="C743" s="153"/>
      <c r="D743" s="462" t="s">
        <v>50</v>
      </c>
      <c r="E743" s="153"/>
      <c r="F743" s="159"/>
      <c r="G743" s="157"/>
      <c r="H743" s="186"/>
      <c r="I743" s="40"/>
      <c r="J743" s="40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</row>
    <row r="744" spans="1:21" ht="18.75" x14ac:dyDescent="0.25">
      <c r="A744" s="152"/>
      <c r="B744" s="153"/>
      <c r="C744" s="153"/>
      <c r="D744" s="153"/>
      <c r="E744" s="415" t="s">
        <v>272</v>
      </c>
      <c r="F744" s="159"/>
      <c r="G744" s="157"/>
      <c r="H744" s="186"/>
      <c r="I744" s="40"/>
      <c r="J744" s="40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</row>
    <row r="745" spans="1:21" ht="18.75" x14ac:dyDescent="0.25">
      <c r="A745" s="152"/>
      <c r="B745" s="153"/>
      <c r="C745" s="153"/>
      <c r="D745" s="153"/>
      <c r="E745" s="153"/>
      <c r="F745" s="163" t="s">
        <v>282</v>
      </c>
      <c r="G745" s="157"/>
      <c r="H745" s="147" t="s">
        <v>46</v>
      </c>
      <c r="I745" s="176">
        <f ca="1">IFERROR(__xludf.DUMMYFUNCTION("IMPORTRANGE(""https://docs.google.com/spreadsheets/d/12pGRKgvn2b31Uz_fjAl3XPzZUM_F2_O-zAHL2XHEPZg/edit?usp=sharing"",""รวมเหนือ!I752"")+IMPORTRANGE(""https://docs.google.com/spreadsheets/d/1c0UfJUA6nE6esVMy0kRcX_PENtt96DMxicQpqi3tips/edit?usp=sharing"","""&amp;"รวมตะวันออกเฉียงเหนือ!I752"")+IMPORTRANGE(""https://docs.google.com/spreadsheets/d/1iNWbYmj0agxPDl_yJgGu1eIremFPVMUuMWUKAjBzvrk/edit?usp=sharing"",""รวมกลาง!I752"")+IMPORTRANGE(""https://docs.google.com/spreadsheets/d/1uenpWDAH2bchvfvsSIjpd4bRU5D1faxJOaE3"&amp;"4GQM5-c/edit?usp=sharing"",""รวมใต้!I752"")"),36000)</f>
        <v>36000</v>
      </c>
      <c r="J745" s="176">
        <f ca="1">IFERROR(__xludf.DUMMYFUNCTION("IMPORTRANGE(""https://docs.google.com/spreadsheets/d/12pGRKgvn2b31Uz_fjAl3XPzZUM_F2_O-zAHL2XHEPZg/edit?usp=sharing"",""รวมเหนือ!J752"")+IMPORTRANGE(""https://docs.google.com/spreadsheets/d/1c0UfJUA6nE6esVMy0kRcX_PENtt96DMxicQpqi3tips/edit?usp=sharing"","""&amp;"รวมตะวันออกเฉียงเหนือ!J752"")+IMPORTRANGE(""https://docs.google.com/spreadsheets/d/1iNWbYmj0agxPDl_yJgGu1eIremFPVMUuMWUKAjBzvrk/edit?usp=sharing"",""รวมกลาง!J752"")+IMPORTRANGE(""https://docs.google.com/spreadsheets/d/1uenpWDAH2bchvfvsSIjpd4bRU5D1faxJOaE3"&amp;"4GQM5-c/edit?usp=sharing"",""รวมใต้!J752"")"),33013.05)</f>
        <v>33013.050000000003</v>
      </c>
      <c r="K745" s="42">
        <f ca="1">IF(I745&gt;0,J745*100/I745,0)</f>
        <v>91.702916666666681</v>
      </c>
      <c r="L745" s="41"/>
      <c r="M745" s="41"/>
      <c r="N745" s="41"/>
      <c r="O745" s="41"/>
      <c r="P745" s="41"/>
      <c r="Q745" s="41"/>
      <c r="R745" s="41"/>
      <c r="S745" s="41"/>
      <c r="T745" s="41"/>
      <c r="U745" s="41"/>
    </row>
    <row r="746" spans="1:21" ht="18.75" x14ac:dyDescent="0.25">
      <c r="A746" s="152"/>
      <c r="B746" s="153"/>
      <c r="C746" s="153"/>
      <c r="D746" s="153"/>
      <c r="E746" s="153"/>
      <c r="F746" s="163" t="s">
        <v>283</v>
      </c>
      <c r="G746" s="157"/>
      <c r="H746" s="147" t="s">
        <v>46</v>
      </c>
      <c r="I746" s="40"/>
      <c r="J746" s="176">
        <f ca="1">IFERROR(__xludf.DUMMYFUNCTION("IMPORTRANGE(""https://docs.google.com/spreadsheets/d/12pGRKgvn2b31Uz_fjAl3XPzZUM_F2_O-zAHL2XHEPZg/edit?usp=sharing"",""รวมเหนือ!J753"")+IMPORTRANGE(""https://docs.google.com/spreadsheets/d/1c0UfJUA6nE6esVMy0kRcX_PENtt96DMxicQpqi3tips/edit?usp=sharing"","""&amp;"รวมตะวันออกเฉียงเหนือ!J753"")+IMPORTRANGE(""https://docs.google.com/spreadsheets/d/1iNWbYmj0agxPDl_yJgGu1eIremFPVMUuMWUKAjBzvrk/edit?usp=sharing"",""รวมกลาง!J753"")+IMPORTRANGE(""https://docs.google.com/spreadsheets/d/1uenpWDAH2bchvfvsSIjpd4bRU5D1faxJOaE3"&amp;"4GQM5-c/edit?usp=sharing"",""รวมใต้!J753"")"),15593.79)</f>
        <v>15593.79</v>
      </c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</row>
    <row r="747" spans="1:21" ht="18.75" x14ac:dyDescent="0.25">
      <c r="A747" s="152"/>
      <c r="B747" s="153"/>
      <c r="C747" s="153"/>
      <c r="D747" s="153"/>
      <c r="E747" s="415" t="s">
        <v>276</v>
      </c>
      <c r="F747" s="159"/>
      <c r="G747" s="157"/>
      <c r="H747" s="186"/>
      <c r="I747" s="40"/>
      <c r="J747" s="40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</row>
    <row r="748" spans="1:21" ht="18.75" x14ac:dyDescent="0.25">
      <c r="A748" s="152"/>
      <c r="B748" s="153"/>
      <c r="C748" s="153"/>
      <c r="D748" s="153"/>
      <c r="E748" s="159"/>
      <c r="F748" s="163" t="s">
        <v>284</v>
      </c>
      <c r="G748" s="157"/>
      <c r="H748" s="147" t="s">
        <v>46</v>
      </c>
      <c r="I748" s="176">
        <f ca="1">IFERROR(__xludf.DUMMYFUNCTION("IMPORTRANGE(""https://docs.google.com/spreadsheets/d/12pGRKgvn2b31Uz_fjAl3XPzZUM_F2_O-zAHL2XHEPZg/edit?usp=sharing"",""รวมเหนือ!I755"")+IMPORTRANGE(""https://docs.google.com/spreadsheets/d/1c0UfJUA6nE6esVMy0kRcX_PENtt96DMxicQpqi3tips/edit?usp=sharing"","""&amp;"รวมตะวันออกเฉียงเหนือ!I755"")+IMPORTRANGE(""https://docs.google.com/spreadsheets/d/1iNWbYmj0agxPDl_yJgGu1eIremFPVMUuMWUKAjBzvrk/edit?usp=sharing"",""รวมกลาง!I755"")+IMPORTRANGE(""https://docs.google.com/spreadsheets/d/1uenpWDAH2bchvfvsSIjpd4bRU5D1faxJOaE3"&amp;"4GQM5-c/edit?usp=sharing"",""รวมใต้!I755"")"),9000)</f>
        <v>9000</v>
      </c>
      <c r="J748" s="176">
        <f ca="1">IFERROR(__xludf.DUMMYFUNCTION("IMPORTRANGE(""https://docs.google.com/spreadsheets/d/12pGRKgvn2b31Uz_fjAl3XPzZUM_F2_O-zAHL2XHEPZg/edit?usp=sharing"",""รวมเหนือ!J755"")+IMPORTRANGE(""https://docs.google.com/spreadsheets/d/1c0UfJUA6nE6esVMy0kRcX_PENtt96DMxicQpqi3tips/edit?usp=sharing"","""&amp;"รวมตะวันออกเฉียงเหนือ!J755"")+IMPORTRANGE(""https://docs.google.com/spreadsheets/d/1iNWbYmj0agxPDl_yJgGu1eIremFPVMUuMWUKAjBzvrk/edit?usp=sharing"",""รวมกลาง!J755"")+IMPORTRANGE(""https://docs.google.com/spreadsheets/d/1uenpWDAH2bchvfvsSIjpd4bRU5D1faxJOaE3"&amp;"4GQM5-c/edit?usp=sharing"",""รวมใต้!J755"")"),8460.85)</f>
        <v>8460.85</v>
      </c>
      <c r="K748" s="42">
        <f ca="1">IF(I748&gt;0,J748*100/I748,0)</f>
        <v>94.009444444444441</v>
      </c>
      <c r="L748" s="41"/>
      <c r="M748" s="41"/>
      <c r="N748" s="41"/>
      <c r="O748" s="41"/>
      <c r="P748" s="41"/>
      <c r="Q748" s="41"/>
      <c r="R748" s="41"/>
      <c r="S748" s="41"/>
      <c r="T748" s="41"/>
      <c r="U748" s="41"/>
    </row>
    <row r="749" spans="1:21" ht="18.75" x14ac:dyDescent="0.25">
      <c r="A749" s="152"/>
      <c r="B749" s="153"/>
      <c r="C749" s="153"/>
      <c r="D749" s="153"/>
      <c r="E749" s="159"/>
      <c r="F749" s="163" t="s">
        <v>285</v>
      </c>
      <c r="G749" s="157"/>
      <c r="H749" s="147" t="s">
        <v>46</v>
      </c>
      <c r="I749" s="40"/>
      <c r="J749" s="176">
        <f ca="1">IFERROR(__xludf.DUMMYFUNCTION("IMPORTRANGE(""https://docs.google.com/spreadsheets/d/12pGRKgvn2b31Uz_fjAl3XPzZUM_F2_O-zAHL2XHEPZg/edit?usp=sharing"",""รวมเหนือ!J756"")+IMPORTRANGE(""https://docs.google.com/spreadsheets/d/1c0UfJUA6nE6esVMy0kRcX_PENtt96DMxicQpqi3tips/edit?usp=sharing"","""&amp;"รวมตะวันออกเฉียงเหนือ!J756"")+IMPORTRANGE(""https://docs.google.com/spreadsheets/d/1iNWbYmj0agxPDl_yJgGu1eIremFPVMUuMWUKAjBzvrk/edit?usp=sharing"",""รวมกลาง!J756"")+IMPORTRANGE(""https://docs.google.com/spreadsheets/d/1uenpWDAH2bchvfvsSIjpd4bRU5D1faxJOaE3"&amp;"4GQM5-c/edit?usp=sharing"",""รวมใต้!J756"")"),4549.9)</f>
        <v>4549.8999999999996</v>
      </c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</row>
    <row r="750" spans="1:21" ht="18.75" x14ac:dyDescent="0.25">
      <c r="A750" s="463"/>
      <c r="B750" s="464"/>
      <c r="C750" s="464"/>
      <c r="D750" s="464"/>
      <c r="E750" s="465" t="s">
        <v>286</v>
      </c>
      <c r="F750" s="466"/>
      <c r="G750" s="467"/>
      <c r="H750" s="468" t="s">
        <v>35</v>
      </c>
      <c r="I750" s="469"/>
      <c r="J750" s="395">
        <v>116</v>
      </c>
      <c r="K750" s="470"/>
      <c r="L750" s="470"/>
      <c r="M750" s="470"/>
      <c r="N750" s="470"/>
      <c r="O750" s="470"/>
      <c r="P750" s="470"/>
      <c r="Q750" s="470"/>
      <c r="R750" s="470"/>
      <c r="S750" s="470"/>
      <c r="T750" s="470"/>
      <c r="U750" s="470"/>
    </row>
    <row r="751" spans="1:21" ht="19.5" x14ac:dyDescent="0.3">
      <c r="A751" s="431"/>
      <c r="B751" s="432" t="s">
        <v>287</v>
      </c>
      <c r="C751" s="433"/>
      <c r="D751" s="434"/>
      <c r="E751" s="434"/>
      <c r="F751" s="434"/>
      <c r="G751" s="435"/>
      <c r="H751" s="457" t="s">
        <v>35</v>
      </c>
      <c r="I751" s="458">
        <f t="shared" ref="I751:J751" ca="1" si="485">I765</f>
        <v>3240</v>
      </c>
      <c r="J751" s="458">
        <f t="shared" ca="1" si="485"/>
        <v>3240</v>
      </c>
      <c r="K751" s="459">
        <f t="shared" ref="K751:K752" ca="1" si="486">IF(I751&gt;0,J751*100/I751,0)</f>
        <v>100</v>
      </c>
      <c r="L751" s="438"/>
      <c r="M751" s="438"/>
      <c r="N751" s="438"/>
      <c r="O751" s="438"/>
      <c r="P751" s="438"/>
      <c r="Q751" s="438"/>
      <c r="R751" s="438"/>
      <c r="S751" s="438"/>
      <c r="T751" s="438"/>
      <c r="U751" s="438"/>
    </row>
    <row r="752" spans="1:21" ht="19.5" x14ac:dyDescent="0.3">
      <c r="A752" s="431"/>
      <c r="B752" s="433"/>
      <c r="C752" s="433"/>
      <c r="D752" s="434"/>
      <c r="E752" s="434"/>
      <c r="F752" s="434"/>
      <c r="G752" s="435"/>
      <c r="H752" s="457" t="s">
        <v>46</v>
      </c>
      <c r="I752" s="458">
        <f t="shared" ref="I752:J752" ca="1" si="487">I767</f>
        <v>10000</v>
      </c>
      <c r="J752" s="458">
        <f t="shared" ca="1" si="487"/>
        <v>10000</v>
      </c>
      <c r="K752" s="459">
        <f t="shared" ca="1" si="486"/>
        <v>100</v>
      </c>
      <c r="L752" s="438"/>
      <c r="M752" s="438"/>
      <c r="N752" s="438"/>
      <c r="O752" s="438"/>
      <c r="P752" s="438"/>
      <c r="Q752" s="438"/>
      <c r="R752" s="438"/>
      <c r="S752" s="438"/>
      <c r="T752" s="438"/>
      <c r="U752" s="438"/>
    </row>
    <row r="753" spans="1:21" ht="19.5" x14ac:dyDescent="0.3">
      <c r="A753" s="142"/>
      <c r="B753" s="170"/>
      <c r="C753" s="143" t="s">
        <v>18</v>
      </c>
      <c r="D753" s="538" t="s">
        <v>19</v>
      </c>
      <c r="E753" s="535"/>
      <c r="F753" s="535"/>
      <c r="G753" s="536"/>
      <c r="H753" s="227" t="s">
        <v>14</v>
      </c>
      <c r="I753" s="40"/>
      <c r="J753" s="40"/>
      <c r="K753" s="41"/>
      <c r="L753" s="146">
        <f t="shared" ref="L753:N753" ca="1" si="488">L754+L755</f>
        <v>0</v>
      </c>
      <c r="M753" s="146">
        <f t="shared" ca="1" si="488"/>
        <v>0</v>
      </c>
      <c r="N753" s="146">
        <f t="shared" ca="1" si="488"/>
        <v>0</v>
      </c>
      <c r="O753" s="146">
        <f t="shared" ref="O753:O761" ca="1" si="489">IF(L753&gt;0,N753*100/L753,0)</f>
        <v>0</v>
      </c>
      <c r="P753" s="146">
        <f t="shared" ref="P753:P761" ca="1" si="490">IF(M753&gt;0,N753*100/M753,0)</f>
        <v>0</v>
      </c>
      <c r="Q753" s="146">
        <f t="shared" ref="Q753:S753" ca="1" si="491">Q754+Q755</f>
        <v>28615000</v>
      </c>
      <c r="R753" s="146">
        <f t="shared" ca="1" si="491"/>
        <v>28615000</v>
      </c>
      <c r="S753" s="146">
        <f t="shared" ca="1" si="491"/>
        <v>24848380.3699999</v>
      </c>
      <c r="T753" s="146">
        <f t="shared" ref="T753:T761" ca="1" si="492">IF(Q753&gt;0,S753*100/Q753,0)</f>
        <v>86.836905014851993</v>
      </c>
      <c r="U753" s="146">
        <f t="shared" ref="U753:U761" ca="1" si="493">IF(R753&gt;0,S753*100/R753,0)</f>
        <v>86.836905014851993</v>
      </c>
    </row>
    <row r="754" spans="1:21" ht="18.75" x14ac:dyDescent="0.25">
      <c r="A754" s="142"/>
      <c r="B754" s="170"/>
      <c r="C754" s="170"/>
      <c r="D754" s="159"/>
      <c r="E754" s="43" t="s">
        <v>165</v>
      </c>
      <c r="F754" s="36"/>
      <c r="G754" s="38"/>
      <c r="H754" s="148" t="s">
        <v>14</v>
      </c>
      <c r="I754" s="40"/>
      <c r="J754" s="40"/>
      <c r="K754" s="41"/>
      <c r="L754" s="42">
        <f t="shared" ref="L754:N754" ca="1" si="494">L757+L760</f>
        <v>0</v>
      </c>
      <c r="M754" s="42">
        <f t="shared" ca="1" si="494"/>
        <v>0</v>
      </c>
      <c r="N754" s="42">
        <f t="shared" ca="1" si="494"/>
        <v>0</v>
      </c>
      <c r="O754" s="42">
        <f t="shared" ca="1" si="489"/>
        <v>0</v>
      </c>
      <c r="P754" s="42">
        <f t="shared" ca="1" si="490"/>
        <v>0</v>
      </c>
      <c r="Q754" s="42">
        <f ca="1">IFERROR(__xludf.DUMMYFUNCTION("IMPORTRANGE(""https://docs.google.com/spreadsheets/d/1ItG2mGa2ceCfYo0BwxsXqNm01IGEUdYcSSLTEv9YCik/edit?usp=sharing"",""เบิกจ่ายกองทุน!AA11"")"),3031360)</f>
        <v>3031360</v>
      </c>
      <c r="R754" s="42">
        <f ca="1">IFERROR(__xludf.DUMMYFUNCTION("IMPORTRANGE(""https://docs.google.com/spreadsheets/d/1ItG2mGa2ceCfYo0BwxsXqNm01IGEUdYcSSLTEv9YCik/edit?usp=sharing"",""เบิกจ่ายกองทุน!AB11"")"),3031360)</f>
        <v>3031360</v>
      </c>
      <c r="S754" s="42">
        <f ca="1">IFERROR(__xludf.DUMMYFUNCTION("IMPORTRANGE(""https://docs.google.com/spreadsheets/d/1ItG2mGa2ceCfYo0BwxsXqNm01IGEUdYcSSLTEv9YCik/edit?usp=sharing"",""เบิกจ่ายกองทุน!AC11"")"),221093.82)</f>
        <v>221093.82</v>
      </c>
      <c r="T754" s="42">
        <f t="shared" ca="1" si="492"/>
        <v>7.2935520690383191</v>
      </c>
      <c r="U754" s="42">
        <f t="shared" ca="1" si="493"/>
        <v>7.2935520690383191</v>
      </c>
    </row>
    <row r="755" spans="1:21" ht="18.75" x14ac:dyDescent="0.25">
      <c r="A755" s="142"/>
      <c r="B755" s="170"/>
      <c r="C755" s="183"/>
      <c r="D755" s="159"/>
      <c r="E755" s="43" t="s">
        <v>166</v>
      </c>
      <c r="F755" s="36"/>
      <c r="G755" s="38"/>
      <c r="H755" s="148" t="s">
        <v>14</v>
      </c>
      <c r="I755" s="40"/>
      <c r="J755" s="40"/>
      <c r="K755" s="41"/>
      <c r="L755" s="42">
        <f t="shared" ref="L755:N755" ca="1" si="495">L758+L761</f>
        <v>0</v>
      </c>
      <c r="M755" s="42">
        <f t="shared" ca="1" si="495"/>
        <v>0</v>
      </c>
      <c r="N755" s="42">
        <f t="shared" ca="1" si="495"/>
        <v>0</v>
      </c>
      <c r="O755" s="42">
        <f t="shared" ca="1" si="489"/>
        <v>0</v>
      </c>
      <c r="P755" s="42">
        <f t="shared" ca="1" si="490"/>
        <v>0</v>
      </c>
      <c r="Q755" s="42">
        <f ca="1">IFERROR(__xludf.DUMMYFUNCTION("IMPORTRANGE(""https://docs.google.com/spreadsheets/d/12pGRKgvn2b31Uz_fjAl3XPzZUM_F2_O-zAHL2XHEPZg/edit?usp=sharing"",""รวมเหนือ!Q765"")+IMPORTRANGE(""https://docs.google.com/spreadsheets/d/1c0UfJUA6nE6esVMy0kRcX_PENtt96DMxicQpqi3tips/edit?usp=sharing"","""&amp;"รวมตะวันออกเฉียงเหนือ!Q765"")+IMPORTRANGE(""https://docs.google.com/spreadsheets/d/1iNWbYmj0agxPDl_yJgGu1eIremFPVMUuMWUKAjBzvrk/edit?usp=sharing"",""รวมกลาง!Q765"")+IMPORTRANGE(""https://docs.google.com/spreadsheets/d/1uenpWDAH2bchvfvsSIjpd4bRU5D1faxJOaE3"&amp;"4GQM5-c/edit?usp=sharing"",""รวมใต้!Q765"")"),25583640)</f>
        <v>25583640</v>
      </c>
      <c r="R755" s="42">
        <f ca="1">IFERROR(__xludf.DUMMYFUNCTION("IMPORTRANGE(""https://docs.google.com/spreadsheets/d/12pGRKgvn2b31Uz_fjAl3XPzZUM_F2_O-zAHL2XHEPZg/edit?usp=sharing"",""รวมเหนือ!R765"")+IMPORTRANGE(""https://docs.google.com/spreadsheets/d/1c0UfJUA6nE6esVMy0kRcX_PENtt96DMxicQpqi3tips/edit?usp=sharing"","""&amp;"รวมตะวันออกเฉียงเหนือ!R765"")+IMPORTRANGE(""https://docs.google.com/spreadsheets/d/1iNWbYmj0agxPDl_yJgGu1eIremFPVMUuMWUKAjBzvrk/edit?usp=sharing"",""รวมกลาง!R765"")+IMPORTRANGE(""https://docs.google.com/spreadsheets/d/1uenpWDAH2bchvfvsSIjpd4bRU5D1faxJOaE3"&amp;"4GQM5-c/edit?usp=sharing"",""รวมใต้!R765"")"),25583640)</f>
        <v>25583640</v>
      </c>
      <c r="S755" s="42">
        <f ca="1">IFERROR(__xludf.DUMMYFUNCTION("IMPORTRANGE(""https://docs.google.com/spreadsheets/d/12pGRKgvn2b31Uz_fjAl3XPzZUM_F2_O-zAHL2XHEPZg/edit?usp=sharing"",""รวมเหนือ!S765"")+IMPORTRANGE(""https://docs.google.com/spreadsheets/d/1c0UfJUA6nE6esVMy0kRcX_PENtt96DMxicQpqi3tips/edit?usp=sharing"","""&amp;"รวมตะวันออกเฉียงเหนือ!S765"")+IMPORTRANGE(""https://docs.google.com/spreadsheets/d/1iNWbYmj0agxPDl_yJgGu1eIremFPVMUuMWUKAjBzvrk/edit?usp=sharing"",""รวมกลาง!S765"")+IMPORTRANGE(""https://docs.google.com/spreadsheets/d/1uenpWDAH2bchvfvsSIjpd4bRU5D1faxJOaE3"&amp;"4GQM5-c/edit?usp=sharing"",""รวมใต้!S765"")"),24627286.5499999)</f>
        <v>24627286.5499999</v>
      </c>
      <c r="T755" s="42">
        <f t="shared" ca="1" si="492"/>
        <v>96.261855427921518</v>
      </c>
      <c r="U755" s="42">
        <f t="shared" ca="1" si="493"/>
        <v>96.261855427921518</v>
      </c>
    </row>
    <row r="756" spans="1:21" ht="18.75" x14ac:dyDescent="0.25">
      <c r="A756" s="142"/>
      <c r="B756" s="170"/>
      <c r="C756" s="183"/>
      <c r="D756" s="37" t="s">
        <v>22</v>
      </c>
      <c r="E756" s="36"/>
      <c r="F756" s="36"/>
      <c r="G756" s="38"/>
      <c r="H756" s="148" t="s">
        <v>14</v>
      </c>
      <c r="I756" s="149"/>
      <c r="J756" s="149"/>
      <c r="K756" s="150"/>
      <c r="L756" s="42">
        <f t="shared" ref="L756:N756" ca="1" si="496">L757+L758</f>
        <v>0</v>
      </c>
      <c r="M756" s="42">
        <f t="shared" ca="1" si="496"/>
        <v>0</v>
      </c>
      <c r="N756" s="42">
        <f t="shared" ca="1" si="496"/>
        <v>0</v>
      </c>
      <c r="O756" s="42">
        <f t="shared" ca="1" si="489"/>
        <v>0</v>
      </c>
      <c r="P756" s="42">
        <f t="shared" ca="1" si="490"/>
        <v>0</v>
      </c>
      <c r="Q756" s="42">
        <f t="shared" ref="Q756:S756" si="497">Q757+Q758</f>
        <v>0</v>
      </c>
      <c r="R756" s="42">
        <f t="shared" si="497"/>
        <v>0</v>
      </c>
      <c r="S756" s="42">
        <f t="shared" si="497"/>
        <v>0</v>
      </c>
      <c r="T756" s="42">
        <f t="shared" si="492"/>
        <v>0</v>
      </c>
      <c r="U756" s="42">
        <f t="shared" si="493"/>
        <v>0</v>
      </c>
    </row>
    <row r="757" spans="1:21" ht="18.75" x14ac:dyDescent="0.25">
      <c r="A757" s="142"/>
      <c r="B757" s="170"/>
      <c r="C757" s="183"/>
      <c r="D757" s="159"/>
      <c r="E757" s="43" t="s">
        <v>165</v>
      </c>
      <c r="F757" s="36"/>
      <c r="G757" s="38"/>
      <c r="H757" s="148" t="s">
        <v>14</v>
      </c>
      <c r="I757" s="40"/>
      <c r="J757" s="40"/>
      <c r="K757" s="41"/>
      <c r="L757" s="42">
        <f ca="1">IFERROR(__xludf.DUMMYFUNCTION("IMPORTRANGE(""https://docs.google.com/spreadsheets/d/12pGRKgvn2b31Uz_fjAl3XPzZUM_F2_O-zAHL2XHEPZg/edit?usp=sharing"",""รวมเหนือ!L764"")+IMPORTRANGE(""https://docs.google.com/spreadsheets/d/1c0UfJUA6nE6esVMy0kRcX_PENtt96DMxicQpqi3tips/edit?usp=sharing"","""&amp;"รวมตะวันออกเฉียงเหนือ!L764"")+IMPORTRANGE(""https://docs.google.com/spreadsheets/d/1iNWbYmj0agxPDl_yJgGu1eIremFPVMUuMWUKAjBzvrk/edit?usp=sharing"",""รวมกลาง!L764"")+IMPORTRANGE(""https://docs.google.com/spreadsheets/d/1uenpWDAH2bchvfvsSIjpd4bRU5D1faxJOaE3"&amp;"4GQM5-c/edit?usp=sharing"",""รวมใต้!L764"")"),0)</f>
        <v>0</v>
      </c>
      <c r="M757" s="42">
        <f ca="1">IFERROR(__xludf.DUMMYFUNCTION("IMPORTRANGE(""https://docs.google.com/spreadsheets/d/12pGRKgvn2b31Uz_fjAl3XPzZUM_F2_O-zAHL2XHEPZg/edit?usp=sharing"",""รวมเหนือ!M764"")+IMPORTRANGE(""https://docs.google.com/spreadsheets/d/1c0UfJUA6nE6esVMy0kRcX_PENtt96DMxicQpqi3tips/edit?usp=sharing"","""&amp;"รวมตะวันออกเฉียงเหนือ!M764"")+IMPORTRANGE(""https://docs.google.com/spreadsheets/d/1iNWbYmj0agxPDl_yJgGu1eIremFPVMUuMWUKAjBzvrk/edit?usp=sharing"",""รวมกลาง!M764"")+IMPORTRANGE(""https://docs.google.com/spreadsheets/d/1uenpWDAH2bchvfvsSIjpd4bRU5D1faxJOaE3"&amp;"4GQM5-c/edit?usp=sharing"",""รวมใต้!M764"")"),0)</f>
        <v>0</v>
      </c>
      <c r="N757" s="42">
        <f ca="1">IFERROR(__xludf.DUMMYFUNCTION("IMPORTRANGE(""https://docs.google.com/spreadsheets/d/12pGRKgvn2b31Uz_fjAl3XPzZUM_F2_O-zAHL2XHEPZg/edit?usp=sharing"",""รวมเหนือ!N764"")+IMPORTRANGE(""https://docs.google.com/spreadsheets/d/1c0UfJUA6nE6esVMy0kRcX_PENtt96DMxicQpqi3tips/edit?usp=sharing"","""&amp;"รวมตะวันออกเฉียงเหนือ!N764"")+IMPORTRANGE(""https://docs.google.com/spreadsheets/d/1iNWbYmj0agxPDl_yJgGu1eIremFPVMUuMWUKAjBzvrk/edit?usp=sharing"",""รวมกลาง!N764"")+IMPORTRANGE(""https://docs.google.com/spreadsheets/d/1uenpWDAH2bchvfvsSIjpd4bRU5D1faxJOaE3"&amp;"4GQM5-c/edit?usp=sharing"",""รวมใต้!N764"")"),0)</f>
        <v>0</v>
      </c>
      <c r="O757" s="42">
        <f t="shared" ca="1" si="489"/>
        <v>0</v>
      </c>
      <c r="P757" s="42">
        <f t="shared" ca="1" si="490"/>
        <v>0</v>
      </c>
      <c r="Q757" s="42">
        <v>0</v>
      </c>
      <c r="R757" s="42">
        <v>0</v>
      </c>
      <c r="S757" s="42">
        <v>0</v>
      </c>
      <c r="T757" s="42">
        <f t="shared" si="492"/>
        <v>0</v>
      </c>
      <c r="U757" s="42">
        <f t="shared" si="493"/>
        <v>0</v>
      </c>
    </row>
    <row r="758" spans="1:21" ht="18.75" x14ac:dyDescent="0.25">
      <c r="A758" s="142"/>
      <c r="B758" s="170"/>
      <c r="C758" s="183"/>
      <c r="D758" s="159"/>
      <c r="E758" s="43" t="s">
        <v>166</v>
      </c>
      <c r="F758" s="36"/>
      <c r="G758" s="38"/>
      <c r="H758" s="148" t="s">
        <v>14</v>
      </c>
      <c r="I758" s="40"/>
      <c r="J758" s="40"/>
      <c r="K758" s="41"/>
      <c r="L758" s="42">
        <f ca="1">IFERROR(__xludf.DUMMYFUNCTION("IMPORTRANGE(""https://docs.google.com/spreadsheets/d/12pGRKgvn2b31Uz_fjAl3XPzZUM_F2_O-zAHL2XHEPZg/edit?usp=sharing"",""รวมเหนือ!L765"")+IMPORTRANGE(""https://docs.google.com/spreadsheets/d/1c0UfJUA6nE6esVMy0kRcX_PENtt96DMxicQpqi3tips/edit?usp=sharing"","""&amp;"รวมตะวันออกเฉียงเหนือ!L765"")+IMPORTRANGE(""https://docs.google.com/spreadsheets/d/1iNWbYmj0agxPDl_yJgGu1eIremFPVMUuMWUKAjBzvrk/edit?usp=sharing"",""รวมกลาง!L765"")+IMPORTRANGE(""https://docs.google.com/spreadsheets/d/1uenpWDAH2bchvfvsSIjpd4bRU5D1faxJOaE3"&amp;"4GQM5-c/edit?usp=sharing"",""รวมใต้!L765"")"),0)</f>
        <v>0</v>
      </c>
      <c r="M758" s="42">
        <f ca="1">IFERROR(__xludf.DUMMYFUNCTION("IMPORTRANGE(""https://docs.google.com/spreadsheets/d/12pGRKgvn2b31Uz_fjAl3XPzZUM_F2_O-zAHL2XHEPZg/edit?usp=sharing"",""รวมเหนือ!M765"")+IMPORTRANGE(""https://docs.google.com/spreadsheets/d/1c0UfJUA6nE6esVMy0kRcX_PENtt96DMxicQpqi3tips/edit?usp=sharing"","""&amp;"รวมตะวันออกเฉียงเหนือ!M765"")+IMPORTRANGE(""https://docs.google.com/spreadsheets/d/1iNWbYmj0agxPDl_yJgGu1eIremFPVMUuMWUKAjBzvrk/edit?usp=sharing"",""รวมกลาง!M765"")+IMPORTRANGE(""https://docs.google.com/spreadsheets/d/1uenpWDAH2bchvfvsSIjpd4bRU5D1faxJOaE3"&amp;"4GQM5-c/edit?usp=sharing"",""รวมใต้!M765"")"),0)</f>
        <v>0</v>
      </c>
      <c r="N758" s="42">
        <f ca="1">IFERROR(__xludf.DUMMYFUNCTION("IMPORTRANGE(""https://docs.google.com/spreadsheets/d/12pGRKgvn2b31Uz_fjAl3XPzZUM_F2_O-zAHL2XHEPZg/edit?usp=sharing"",""รวมเหนือ!N765"")+IMPORTRANGE(""https://docs.google.com/spreadsheets/d/1c0UfJUA6nE6esVMy0kRcX_PENtt96DMxicQpqi3tips/edit?usp=sharing"","""&amp;"รวมตะวันออกเฉียงเหนือ!N765"")+IMPORTRANGE(""https://docs.google.com/spreadsheets/d/1iNWbYmj0agxPDl_yJgGu1eIremFPVMUuMWUKAjBzvrk/edit?usp=sharing"",""รวมกลาง!N765"")+IMPORTRANGE(""https://docs.google.com/spreadsheets/d/1uenpWDAH2bchvfvsSIjpd4bRU5D1faxJOaE3"&amp;"4GQM5-c/edit?usp=sharing"",""รวมใต้!N765"")"),0)</f>
        <v>0</v>
      </c>
      <c r="O758" s="42">
        <f t="shared" ca="1" si="489"/>
        <v>0</v>
      </c>
      <c r="P758" s="42">
        <f t="shared" ca="1" si="490"/>
        <v>0</v>
      </c>
      <c r="Q758" s="42">
        <v>0</v>
      </c>
      <c r="R758" s="42">
        <v>0</v>
      </c>
      <c r="S758" s="42">
        <v>0</v>
      </c>
      <c r="T758" s="42">
        <f t="shared" si="492"/>
        <v>0</v>
      </c>
      <c r="U758" s="42">
        <f t="shared" si="493"/>
        <v>0</v>
      </c>
    </row>
    <row r="759" spans="1:21" ht="18.75" x14ac:dyDescent="0.25">
      <c r="A759" s="142"/>
      <c r="B759" s="170"/>
      <c r="C759" s="170"/>
      <c r="D759" s="37" t="s">
        <v>23</v>
      </c>
      <c r="E759" s="170"/>
      <c r="F759" s="36"/>
      <c r="G759" s="38"/>
      <c r="H759" s="151" t="s">
        <v>14</v>
      </c>
      <c r="I759" s="149"/>
      <c r="J759" s="149"/>
      <c r="K759" s="150"/>
      <c r="L759" s="42">
        <f t="shared" ref="L759:N759" ca="1" si="498">L760+L761</f>
        <v>0</v>
      </c>
      <c r="M759" s="42">
        <f t="shared" ca="1" si="498"/>
        <v>0</v>
      </c>
      <c r="N759" s="42">
        <f t="shared" ca="1" si="498"/>
        <v>0</v>
      </c>
      <c r="O759" s="42">
        <f t="shared" ca="1" si="489"/>
        <v>0</v>
      </c>
      <c r="P759" s="42">
        <f t="shared" ca="1" si="490"/>
        <v>0</v>
      </c>
      <c r="Q759" s="42">
        <f t="shared" ref="Q759:S759" si="499">Q760+Q761</f>
        <v>0</v>
      </c>
      <c r="R759" s="42">
        <f t="shared" si="499"/>
        <v>0</v>
      </c>
      <c r="S759" s="42">
        <f t="shared" si="499"/>
        <v>0</v>
      </c>
      <c r="T759" s="42">
        <f t="shared" si="492"/>
        <v>0</v>
      </c>
      <c r="U759" s="42">
        <f t="shared" si="493"/>
        <v>0</v>
      </c>
    </row>
    <row r="760" spans="1:21" ht="18.75" x14ac:dyDescent="0.25">
      <c r="A760" s="142"/>
      <c r="B760" s="170"/>
      <c r="C760" s="170"/>
      <c r="D760" s="170"/>
      <c r="E760" s="214" t="s">
        <v>20</v>
      </c>
      <c r="F760" s="36"/>
      <c r="G760" s="38"/>
      <c r="H760" s="148" t="s">
        <v>14</v>
      </c>
      <c r="I760" s="149"/>
      <c r="J760" s="149"/>
      <c r="K760" s="150"/>
      <c r="L760" s="42">
        <f ca="1">IFERROR(__xludf.DUMMYFUNCTION("IMPORTRANGE(""https://docs.google.com/spreadsheets/d/12pGRKgvn2b31Uz_fjAl3XPzZUM_F2_O-zAHL2XHEPZg/edit?usp=sharing"",""รวมเหนือ!L767"")+IMPORTRANGE(""https://docs.google.com/spreadsheets/d/1c0UfJUA6nE6esVMy0kRcX_PENtt96DMxicQpqi3tips/edit?usp=sharing"","""&amp;"รวมตะวันออกเฉียงเหนือ!L767"")+IMPORTRANGE(""https://docs.google.com/spreadsheets/d/1iNWbYmj0agxPDl_yJgGu1eIremFPVMUuMWUKAjBzvrk/edit?usp=sharing"",""รวมกลาง!L767"")+IMPORTRANGE(""https://docs.google.com/spreadsheets/d/1uenpWDAH2bchvfvsSIjpd4bRU5D1faxJOaE3"&amp;"4GQM5-c/edit?usp=sharing"",""รวมใต้!L767"")"),0)</f>
        <v>0</v>
      </c>
      <c r="M760" s="42">
        <f ca="1">IFERROR(__xludf.DUMMYFUNCTION("IMPORTRANGE(""https://docs.google.com/spreadsheets/d/12pGRKgvn2b31Uz_fjAl3XPzZUM_F2_O-zAHL2XHEPZg/edit?usp=sharing"",""รวมเหนือ!M767"")+IMPORTRANGE(""https://docs.google.com/spreadsheets/d/1c0UfJUA6nE6esVMy0kRcX_PENtt96DMxicQpqi3tips/edit?usp=sharing"","""&amp;"รวมตะวันออกเฉียงเหนือ!M767"")+IMPORTRANGE(""https://docs.google.com/spreadsheets/d/1iNWbYmj0agxPDl_yJgGu1eIremFPVMUuMWUKAjBzvrk/edit?usp=sharing"",""รวมกลาง!M767"")+IMPORTRANGE(""https://docs.google.com/spreadsheets/d/1uenpWDAH2bchvfvsSIjpd4bRU5D1faxJOaE3"&amp;"4GQM5-c/edit?usp=sharing"",""รวมใต้!M767"")"),0)</f>
        <v>0</v>
      </c>
      <c r="N760" s="42">
        <f ca="1">IFERROR(__xludf.DUMMYFUNCTION("IMPORTRANGE(""https://docs.google.com/spreadsheets/d/12pGRKgvn2b31Uz_fjAl3XPzZUM_F2_O-zAHL2XHEPZg/edit?usp=sharing"",""รวมเหนือ!N767"")+IMPORTRANGE(""https://docs.google.com/spreadsheets/d/1c0UfJUA6nE6esVMy0kRcX_PENtt96DMxicQpqi3tips/edit?usp=sharing"","""&amp;"รวมตะวันออกเฉียงเหนือ!N767"")+IMPORTRANGE(""https://docs.google.com/spreadsheets/d/1iNWbYmj0agxPDl_yJgGu1eIremFPVMUuMWUKAjBzvrk/edit?usp=sharing"",""รวมกลาง!N767"")+IMPORTRANGE(""https://docs.google.com/spreadsheets/d/1uenpWDAH2bchvfvsSIjpd4bRU5D1faxJOaE3"&amp;"4GQM5-c/edit?usp=sharing"",""รวมใต้!N767"")"),0)</f>
        <v>0</v>
      </c>
      <c r="O760" s="42">
        <f t="shared" ca="1" si="489"/>
        <v>0</v>
      </c>
      <c r="P760" s="42">
        <f t="shared" ca="1" si="490"/>
        <v>0</v>
      </c>
      <c r="Q760" s="42">
        <v>0</v>
      </c>
      <c r="R760" s="42">
        <v>0</v>
      </c>
      <c r="S760" s="42">
        <v>0</v>
      </c>
      <c r="T760" s="42">
        <f t="shared" si="492"/>
        <v>0</v>
      </c>
      <c r="U760" s="42">
        <f t="shared" si="493"/>
        <v>0</v>
      </c>
    </row>
    <row r="761" spans="1:21" ht="18.75" x14ac:dyDescent="0.25">
      <c r="A761" s="142"/>
      <c r="B761" s="170"/>
      <c r="C761" s="170"/>
      <c r="D761" s="170"/>
      <c r="E761" s="214" t="s">
        <v>21</v>
      </c>
      <c r="F761" s="36"/>
      <c r="G761" s="38"/>
      <c r="H761" s="151" t="s">
        <v>14</v>
      </c>
      <c r="I761" s="149"/>
      <c r="J761" s="149"/>
      <c r="K761" s="150"/>
      <c r="L761" s="42">
        <f ca="1">IFERROR(__xludf.DUMMYFUNCTION("IMPORTRANGE(""https://docs.google.com/spreadsheets/d/12pGRKgvn2b31Uz_fjAl3XPzZUM_F2_O-zAHL2XHEPZg/edit?usp=sharing"",""รวมเหนือ!L768"")+IMPORTRANGE(""https://docs.google.com/spreadsheets/d/1c0UfJUA6nE6esVMy0kRcX_PENtt96DMxicQpqi3tips/edit?usp=sharing"","""&amp;"รวมตะวันออกเฉียงเหนือ!L768"")+IMPORTRANGE(""https://docs.google.com/spreadsheets/d/1iNWbYmj0agxPDl_yJgGu1eIremFPVMUuMWUKAjBzvrk/edit?usp=sharing"",""รวมกลาง!L768"")+IMPORTRANGE(""https://docs.google.com/spreadsheets/d/1uenpWDAH2bchvfvsSIjpd4bRU5D1faxJOaE3"&amp;"4GQM5-c/edit?usp=sharing"",""รวมใต้!L768"")"),0)</f>
        <v>0</v>
      </c>
      <c r="M761" s="42">
        <f ca="1">IFERROR(__xludf.DUMMYFUNCTION("IMPORTRANGE(""https://docs.google.com/spreadsheets/d/12pGRKgvn2b31Uz_fjAl3XPzZUM_F2_O-zAHL2XHEPZg/edit?usp=sharing"",""รวมเหนือ!M768"")+IMPORTRANGE(""https://docs.google.com/spreadsheets/d/1c0UfJUA6nE6esVMy0kRcX_PENtt96DMxicQpqi3tips/edit?usp=sharing"","""&amp;"รวมตะวันออกเฉียงเหนือ!M768"")+IMPORTRANGE(""https://docs.google.com/spreadsheets/d/1iNWbYmj0agxPDl_yJgGu1eIremFPVMUuMWUKAjBzvrk/edit?usp=sharing"",""รวมกลาง!M768"")+IMPORTRANGE(""https://docs.google.com/spreadsheets/d/1uenpWDAH2bchvfvsSIjpd4bRU5D1faxJOaE3"&amp;"4GQM5-c/edit?usp=sharing"",""รวมใต้!M768"")"),0)</f>
        <v>0</v>
      </c>
      <c r="N761" s="42">
        <f ca="1">IFERROR(__xludf.DUMMYFUNCTION("IMPORTRANGE(""https://docs.google.com/spreadsheets/d/12pGRKgvn2b31Uz_fjAl3XPzZUM_F2_O-zAHL2XHEPZg/edit?usp=sharing"",""รวมเหนือ!N768"")+IMPORTRANGE(""https://docs.google.com/spreadsheets/d/1c0UfJUA6nE6esVMy0kRcX_PENtt96DMxicQpqi3tips/edit?usp=sharing"","""&amp;"รวมตะวันออกเฉียงเหนือ!N768"")+IMPORTRANGE(""https://docs.google.com/spreadsheets/d/1iNWbYmj0agxPDl_yJgGu1eIremFPVMUuMWUKAjBzvrk/edit?usp=sharing"",""รวมกลาง!N768"")+IMPORTRANGE(""https://docs.google.com/spreadsheets/d/1uenpWDAH2bchvfvsSIjpd4bRU5D1faxJOaE3"&amp;"4GQM5-c/edit?usp=sharing"",""รวมใต้!N768"")"),0)</f>
        <v>0</v>
      </c>
      <c r="O761" s="42">
        <f t="shared" ca="1" si="489"/>
        <v>0</v>
      </c>
      <c r="P761" s="42">
        <f t="shared" ca="1" si="490"/>
        <v>0</v>
      </c>
      <c r="Q761" s="42">
        <v>0</v>
      </c>
      <c r="R761" s="42">
        <v>0</v>
      </c>
      <c r="S761" s="42">
        <v>0</v>
      </c>
      <c r="T761" s="42">
        <f t="shared" si="492"/>
        <v>0</v>
      </c>
      <c r="U761" s="42">
        <f t="shared" si="493"/>
        <v>0</v>
      </c>
    </row>
    <row r="762" spans="1:21" ht="19.5" x14ac:dyDescent="0.3">
      <c r="A762" s="152"/>
      <c r="B762" s="153"/>
      <c r="C762" s="143" t="s">
        <v>18</v>
      </c>
      <c r="D762" s="448" t="s">
        <v>38</v>
      </c>
      <c r="E762" s="208"/>
      <c r="F762" s="155"/>
      <c r="G762" s="156"/>
      <c r="H762" s="185"/>
      <c r="I762" s="40"/>
      <c r="J762" s="40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</row>
    <row r="763" spans="1:21" ht="18.75" x14ac:dyDescent="0.25">
      <c r="A763" s="152"/>
      <c r="B763" s="153"/>
      <c r="C763" s="153"/>
      <c r="D763" s="415" t="s">
        <v>288</v>
      </c>
      <c r="E763" s="153"/>
      <c r="F763" s="159"/>
      <c r="G763" s="157"/>
      <c r="H763" s="151" t="s">
        <v>35</v>
      </c>
      <c r="I763" s="176">
        <v>120</v>
      </c>
      <c r="J763" s="176">
        <v>120</v>
      </c>
      <c r="K763" s="42">
        <f>IF(I763&gt;0,J763*100/I763,0)</f>
        <v>100</v>
      </c>
      <c r="L763" s="41"/>
      <c r="M763" s="41"/>
      <c r="N763" s="41"/>
      <c r="O763" s="41"/>
      <c r="P763" s="41"/>
      <c r="Q763" s="41"/>
      <c r="R763" s="41"/>
      <c r="S763" s="41"/>
      <c r="T763" s="41"/>
      <c r="U763" s="41"/>
    </row>
    <row r="764" spans="1:21" ht="18.75" x14ac:dyDescent="0.25">
      <c r="A764" s="152"/>
      <c r="B764" s="153"/>
      <c r="C764" s="153"/>
      <c r="D764" s="415" t="s">
        <v>289</v>
      </c>
      <c r="E764" s="153"/>
      <c r="F764" s="159"/>
      <c r="G764" s="157"/>
      <c r="H764" s="185"/>
      <c r="I764" s="40"/>
      <c r="J764" s="40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</row>
    <row r="765" spans="1:21" ht="18.75" x14ac:dyDescent="0.25">
      <c r="A765" s="152"/>
      <c r="B765" s="153"/>
      <c r="C765" s="153"/>
      <c r="D765" s="415" t="s">
        <v>290</v>
      </c>
      <c r="E765" s="153"/>
      <c r="F765" s="159"/>
      <c r="G765" s="157"/>
      <c r="H765" s="151" t="s">
        <v>35</v>
      </c>
      <c r="I765" s="176">
        <f ca="1">IFERROR(__xludf.DUMMYFUNCTION("IMPORTRANGE(""https://docs.google.com/spreadsheets/d/12pGRKgvn2b31Uz_fjAl3XPzZUM_F2_O-zAHL2XHEPZg/edit?usp=sharing"",""รวมเหนือ!I772"")+IMPORTRANGE(""https://docs.google.com/spreadsheets/d/1c0UfJUA6nE6esVMy0kRcX_PENtt96DMxicQpqi3tips/edit?usp=sharing"","""&amp;"รวมตะวันออกเฉียงเหนือ!I772"")+IMPORTRANGE(""https://docs.google.com/spreadsheets/d/1iNWbYmj0agxPDl_yJgGu1eIremFPVMUuMWUKAjBzvrk/edit?usp=sharing"",""รวมกลาง!I772"")+IMPORTRANGE(""https://docs.google.com/spreadsheets/d/1uenpWDAH2bchvfvsSIjpd4bRU5D1faxJOaE3"&amp;"4GQM5-c/edit?usp=sharing"",""รวมใต้!I772"")"),3240)</f>
        <v>3240</v>
      </c>
      <c r="J765" s="176">
        <f ca="1">IFERROR(__xludf.DUMMYFUNCTION("IMPORTRANGE(""https://docs.google.com/spreadsheets/d/12pGRKgvn2b31Uz_fjAl3XPzZUM_F2_O-zAHL2XHEPZg/edit?usp=sharing"",""รวมเหนือ!J772"")+IMPORTRANGE(""https://docs.google.com/spreadsheets/d/1c0UfJUA6nE6esVMy0kRcX_PENtt96DMxicQpqi3tips/edit?usp=sharing"","""&amp;"รวมตะวันออกเฉียงเหนือ!J772"")+IMPORTRANGE(""https://docs.google.com/spreadsheets/d/1iNWbYmj0agxPDl_yJgGu1eIremFPVMUuMWUKAjBzvrk/edit?usp=sharing"",""รวมกลาง!J772"")+IMPORTRANGE(""https://docs.google.com/spreadsheets/d/1uenpWDAH2bchvfvsSIjpd4bRU5D1faxJOaE3"&amp;"4GQM5-c/edit?usp=sharing"",""รวมใต้!J772"")"),3240)</f>
        <v>3240</v>
      </c>
      <c r="K765" s="42">
        <f ca="1">IF(I765&gt;0,J765*100/I765,0)</f>
        <v>100</v>
      </c>
      <c r="L765" s="41"/>
      <c r="M765" s="41"/>
      <c r="N765" s="41"/>
      <c r="O765" s="41"/>
      <c r="P765" s="41"/>
      <c r="Q765" s="41"/>
      <c r="R765" s="41"/>
      <c r="S765" s="41"/>
      <c r="T765" s="41"/>
      <c r="U765" s="41"/>
    </row>
    <row r="766" spans="1:21" ht="18.75" x14ac:dyDescent="0.25">
      <c r="A766" s="152"/>
      <c r="B766" s="153"/>
      <c r="C766" s="153"/>
      <c r="D766" s="415" t="s">
        <v>291</v>
      </c>
      <c r="E766" s="153"/>
      <c r="F766" s="159"/>
      <c r="G766" s="157"/>
      <c r="H766" s="185"/>
      <c r="I766" s="40"/>
      <c r="J766" s="40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</row>
    <row r="767" spans="1:21" ht="18.75" x14ac:dyDescent="0.25">
      <c r="A767" s="152"/>
      <c r="B767" s="153"/>
      <c r="C767" s="153"/>
      <c r="D767" s="415" t="s">
        <v>292</v>
      </c>
      <c r="E767" s="153"/>
      <c r="F767" s="159"/>
      <c r="G767" s="157"/>
      <c r="H767" s="151" t="s">
        <v>46</v>
      </c>
      <c r="I767" s="176">
        <f ca="1">IFERROR(__xludf.DUMMYFUNCTION("IMPORTRANGE(""https://docs.google.com/spreadsheets/d/12pGRKgvn2b31Uz_fjAl3XPzZUM_F2_O-zAHL2XHEPZg/edit?usp=sharing"",""รวมเหนือ!I774"")+IMPORTRANGE(""https://docs.google.com/spreadsheets/d/1c0UfJUA6nE6esVMy0kRcX_PENtt96DMxicQpqi3tips/edit?usp=sharing"","""&amp;"รวมตะวันออกเฉียงเหนือ!I774"")+IMPORTRANGE(""https://docs.google.com/spreadsheets/d/1iNWbYmj0agxPDl_yJgGu1eIremFPVMUuMWUKAjBzvrk/edit?usp=sharing"",""รวมกลาง!I774"")+IMPORTRANGE(""https://docs.google.com/spreadsheets/d/1uenpWDAH2bchvfvsSIjpd4bRU5D1faxJOaE3"&amp;"4GQM5-c/edit?usp=sharing"",""รวมใต้!I774"")"),10000)</f>
        <v>10000</v>
      </c>
      <c r="J767" s="176">
        <f ca="1">IFERROR(__xludf.DUMMYFUNCTION("IMPORTRANGE(""https://docs.google.com/spreadsheets/d/12pGRKgvn2b31Uz_fjAl3XPzZUM_F2_O-zAHL2XHEPZg/edit?usp=sharing"",""รวมเหนือ!J774"")+IMPORTRANGE(""https://docs.google.com/spreadsheets/d/1c0UfJUA6nE6esVMy0kRcX_PENtt96DMxicQpqi3tips/edit?usp=sharing"","""&amp;"รวมตะวันออกเฉียงเหนือ!J774"")+IMPORTRANGE(""https://docs.google.com/spreadsheets/d/1iNWbYmj0agxPDl_yJgGu1eIremFPVMUuMWUKAjBzvrk/edit?usp=sharing"",""รวมกลาง!J774"")+IMPORTRANGE(""https://docs.google.com/spreadsheets/d/1uenpWDAH2bchvfvsSIjpd4bRU5D1faxJOaE3"&amp;"4GQM5-c/edit?usp=sharing"",""รวมใต้!J774"")"),10000)</f>
        <v>10000</v>
      </c>
      <c r="K767" s="42">
        <f t="shared" ref="K767:K770" ca="1" si="500">IF(I767&gt;0,J767*100/I767,0)</f>
        <v>100</v>
      </c>
      <c r="L767" s="41"/>
      <c r="M767" s="41"/>
      <c r="N767" s="41"/>
      <c r="O767" s="41"/>
      <c r="P767" s="41"/>
      <c r="Q767" s="41"/>
      <c r="R767" s="41"/>
      <c r="S767" s="41"/>
      <c r="T767" s="41"/>
      <c r="U767" s="41"/>
    </row>
    <row r="768" spans="1:21" ht="18.75" x14ac:dyDescent="0.25">
      <c r="A768" s="152"/>
      <c r="B768" s="153"/>
      <c r="C768" s="153"/>
      <c r="D768" s="415" t="s">
        <v>50</v>
      </c>
      <c r="E768" s="159"/>
      <c r="F768" s="36"/>
      <c r="G768" s="38"/>
      <c r="H768" s="151" t="s">
        <v>46</v>
      </c>
      <c r="I768" s="176">
        <f ca="1">IFERROR(__xludf.DUMMYFUNCTION("IMPORTRANGE(""https://docs.google.com/spreadsheets/d/12pGRKgvn2b31Uz_fjAl3XPzZUM_F2_O-zAHL2XHEPZg/edit?usp=sharing"",""รวมเหนือ!I775"")+IMPORTRANGE(""https://docs.google.com/spreadsheets/d/1c0UfJUA6nE6esVMy0kRcX_PENtt96DMxicQpqi3tips/edit?usp=sharing"","""&amp;"รวมตะวันออกเฉียงเหนือ!I775"")+IMPORTRANGE(""https://docs.google.com/spreadsheets/d/1iNWbYmj0agxPDl_yJgGu1eIremFPVMUuMWUKAjBzvrk/edit?usp=sharing"",""รวมกลาง!I775"")+IMPORTRANGE(""https://docs.google.com/spreadsheets/d/1uenpWDAH2bchvfvsSIjpd4bRU5D1faxJOaE3"&amp;"4GQM5-c/edit?usp=sharing"",""รวมใต้!I775"")"),10000)</f>
        <v>10000</v>
      </c>
      <c r="J768" s="176">
        <f ca="1">IFERROR(__xludf.DUMMYFUNCTION("IMPORTRANGE(""https://docs.google.com/spreadsheets/d/12pGRKgvn2b31Uz_fjAl3XPzZUM_F2_O-zAHL2XHEPZg/edit?usp=sharing"",""รวมเหนือ!J775"")+IMPORTRANGE(""https://docs.google.com/spreadsheets/d/1c0UfJUA6nE6esVMy0kRcX_PENtt96DMxicQpqi3tips/edit?usp=sharing"","""&amp;"รวมตะวันออกเฉียงเหนือ!J775"")+IMPORTRANGE(""https://docs.google.com/spreadsheets/d/1iNWbYmj0agxPDl_yJgGu1eIremFPVMUuMWUKAjBzvrk/edit?usp=sharing"",""รวมกลาง!J775"")+IMPORTRANGE(""https://docs.google.com/spreadsheets/d/1uenpWDAH2bchvfvsSIjpd4bRU5D1faxJOaE3"&amp;"4GQM5-c/edit?usp=sharing"",""รวมใต้!J775"")"),10000)</f>
        <v>10000</v>
      </c>
      <c r="K768" s="45">
        <f t="shared" ca="1" si="500"/>
        <v>100</v>
      </c>
      <c r="L768" s="41"/>
      <c r="M768" s="41"/>
      <c r="N768" s="41"/>
      <c r="O768" s="41"/>
      <c r="P768" s="41"/>
      <c r="Q768" s="41"/>
      <c r="R768" s="41"/>
      <c r="S768" s="41"/>
      <c r="T768" s="41"/>
      <c r="U768" s="41"/>
    </row>
    <row r="769" spans="1:21" ht="18.75" x14ac:dyDescent="0.25">
      <c r="A769" s="256"/>
      <c r="B769" s="257"/>
      <c r="C769" s="257"/>
      <c r="D769" s="257"/>
      <c r="E769" s="259"/>
      <c r="F769" s="259"/>
      <c r="G769" s="49"/>
      <c r="H769" s="192" t="s">
        <v>35</v>
      </c>
      <c r="I769" s="193">
        <f ca="1">IFERROR(__xludf.DUMMYFUNCTION("IMPORTRANGE(""https://docs.google.com/spreadsheets/d/12pGRKgvn2b31Uz_fjAl3XPzZUM_F2_O-zAHL2XHEPZg/edit?usp=sharing"",""รวมเหนือ!I776"")+IMPORTRANGE(""https://docs.google.com/spreadsheets/d/1c0UfJUA6nE6esVMy0kRcX_PENtt96DMxicQpqi3tips/edit?usp=sharing"","""&amp;"รวมตะวันออกเฉียงเหนือ!I776"")+IMPORTRANGE(""https://docs.google.com/spreadsheets/d/1iNWbYmj0agxPDl_yJgGu1eIremFPVMUuMWUKAjBzvrk/edit?usp=sharing"",""รวมกลาง!I776"")+IMPORTRANGE(""https://docs.google.com/spreadsheets/d/1uenpWDAH2bchvfvsSIjpd4bRU5D1faxJOaE3"&amp;"4GQM5-c/edit?usp=sharing"",""รวมใต้!I776"")"),3240)</f>
        <v>3240</v>
      </c>
      <c r="J769" s="193">
        <f ca="1">IFERROR(__xludf.DUMMYFUNCTION("IMPORTRANGE(""https://docs.google.com/spreadsheets/d/12pGRKgvn2b31Uz_fjAl3XPzZUM_F2_O-zAHL2XHEPZg/edit?usp=sharing"",""รวมเหนือ!J776"")+IMPORTRANGE(""https://docs.google.com/spreadsheets/d/1c0UfJUA6nE6esVMy0kRcX_PENtt96DMxicQpqi3tips/edit?usp=sharing"","""&amp;"รวมตะวันออกเฉียงเหนือ!J776"")+IMPORTRANGE(""https://docs.google.com/spreadsheets/d/1iNWbYmj0agxPDl_yJgGu1eIremFPVMUuMWUKAjBzvrk/edit?usp=sharing"",""รวมกลาง!J776"")+IMPORTRANGE(""https://docs.google.com/spreadsheets/d/1uenpWDAH2bchvfvsSIjpd4bRU5D1faxJOaE3"&amp;"4GQM5-c/edit?usp=sharing"",""รวมใต้!J776"")"),3240)</f>
        <v>3240</v>
      </c>
      <c r="K769" s="53">
        <f t="shared" ca="1" si="500"/>
        <v>100</v>
      </c>
      <c r="L769" s="52"/>
      <c r="M769" s="52"/>
      <c r="N769" s="52"/>
      <c r="O769" s="52"/>
      <c r="P769" s="52"/>
      <c r="Q769" s="52"/>
      <c r="R769" s="52"/>
      <c r="S769" s="52"/>
      <c r="T769" s="52"/>
      <c r="U769" s="52"/>
    </row>
    <row r="770" spans="1:21" ht="19.5" x14ac:dyDescent="0.3">
      <c r="A770" s="471"/>
      <c r="B770" s="472" t="s">
        <v>293</v>
      </c>
      <c r="C770" s="473"/>
      <c r="D770" s="473"/>
      <c r="E770" s="474"/>
      <c r="F770" s="474"/>
      <c r="G770" s="475"/>
      <c r="H770" s="476" t="s">
        <v>61</v>
      </c>
      <c r="I770" s="477">
        <f t="shared" ref="I770:J770" si="501">I782+I783</f>
        <v>2</v>
      </c>
      <c r="J770" s="477">
        <f t="shared" ca="1" si="501"/>
        <v>0</v>
      </c>
      <c r="K770" s="478">
        <f t="shared" ca="1" si="500"/>
        <v>0</v>
      </c>
      <c r="L770" s="479"/>
      <c r="M770" s="479"/>
      <c r="N770" s="479"/>
      <c r="O770" s="479"/>
      <c r="P770" s="479"/>
      <c r="Q770" s="479"/>
      <c r="R770" s="479"/>
      <c r="S770" s="479"/>
      <c r="T770" s="479"/>
      <c r="U770" s="479"/>
    </row>
    <row r="771" spans="1:21" ht="19.5" x14ac:dyDescent="0.3">
      <c r="A771" s="431"/>
      <c r="B771" s="432" t="s">
        <v>294</v>
      </c>
      <c r="C771" s="433"/>
      <c r="D771" s="433"/>
      <c r="E771" s="434"/>
      <c r="F771" s="434"/>
      <c r="G771" s="435"/>
      <c r="H771" s="436"/>
      <c r="I771" s="437"/>
      <c r="J771" s="437"/>
      <c r="K771" s="438"/>
      <c r="L771" s="438"/>
      <c r="M771" s="438"/>
      <c r="N771" s="438"/>
      <c r="O771" s="438"/>
      <c r="P771" s="438"/>
      <c r="Q771" s="438"/>
      <c r="R771" s="438"/>
      <c r="S771" s="438"/>
      <c r="T771" s="438"/>
      <c r="U771" s="438"/>
    </row>
    <row r="772" spans="1:21" ht="19.5" x14ac:dyDescent="0.3">
      <c r="A772" s="142"/>
      <c r="B772" s="170"/>
      <c r="C772" s="143" t="s">
        <v>18</v>
      </c>
      <c r="D772" s="537" t="s">
        <v>19</v>
      </c>
      <c r="E772" s="535"/>
      <c r="F772" s="535"/>
      <c r="G772" s="536"/>
      <c r="H772" s="227" t="s">
        <v>14</v>
      </c>
      <c r="I772" s="40"/>
      <c r="J772" s="40"/>
      <c r="K772" s="41"/>
      <c r="L772" s="146">
        <f t="shared" ref="L772:N772" si="502">L773+L774</f>
        <v>0</v>
      </c>
      <c r="M772" s="146">
        <f t="shared" si="502"/>
        <v>0</v>
      </c>
      <c r="N772" s="146">
        <f t="shared" si="502"/>
        <v>0</v>
      </c>
      <c r="O772" s="146">
        <f t="shared" ref="O772:O780" si="503">IF(L772&gt;0,N772*100/L772,0)</f>
        <v>0</v>
      </c>
      <c r="P772" s="146">
        <f t="shared" ref="P772:P780" si="504">IF(M772&gt;0,N772*100/M772,0)</f>
        <v>0</v>
      </c>
      <c r="Q772" s="146">
        <f ca="1">IFERROR(__xludf.DUMMYFUNCTION("IMPORTRANGE(""https://docs.google.com/spreadsheets/d/1l6IZ8xUPgMrESzcTYwhA1k_tPjeQjJPTqlm8Gd9eU5g/edit?usp=sharing"",""มหาสารคาม!Q788"")"),3073400)</f>
        <v>3073400</v>
      </c>
      <c r="R772" s="146">
        <f ca="1">IFERROR(__xludf.DUMMYFUNCTION("IMPORTRANGE(""https://docs.google.com/spreadsheets/d/1l6IZ8xUPgMrESzcTYwhA1k_tPjeQjJPTqlm8Gd9eU5g/edit?usp=sharing"",""มหาสารคาม!R788"")"),3073400)</f>
        <v>3073400</v>
      </c>
      <c r="S772" s="146">
        <f ca="1">IFERROR(__xludf.DUMMYFUNCTION("IMPORTRANGE(""https://docs.google.com/spreadsheets/d/1l6IZ8xUPgMrESzcTYwhA1k_tPjeQjJPTqlm8Gd9eU5g/edit?usp=sharing"",""มหาสารคาม!S788"")"),2400)</f>
        <v>2400</v>
      </c>
      <c r="T772" s="146">
        <f t="shared" ref="T772:T780" ca="1" si="505">IF(Q772&gt;0,S772*100/Q772,0)</f>
        <v>7.808941237717186E-2</v>
      </c>
      <c r="U772" s="146">
        <f t="shared" ref="U772:U780" ca="1" si="506">IF(R772&gt;0,S772*100/R772,0)</f>
        <v>7.808941237717186E-2</v>
      </c>
    </row>
    <row r="773" spans="1:21" ht="18.75" x14ac:dyDescent="0.25">
      <c r="A773" s="142"/>
      <c r="B773" s="170"/>
      <c r="C773" s="170"/>
      <c r="D773" s="153"/>
      <c r="E773" s="43" t="s">
        <v>165</v>
      </c>
      <c r="F773" s="36"/>
      <c r="G773" s="38"/>
      <c r="H773" s="148" t="s">
        <v>14</v>
      </c>
      <c r="I773" s="40"/>
      <c r="J773" s="40"/>
      <c r="K773" s="41"/>
      <c r="L773" s="42">
        <f t="shared" ref="L773:N773" si="507">L776+L779</f>
        <v>0</v>
      </c>
      <c r="M773" s="42">
        <f t="shared" si="507"/>
        <v>0</v>
      </c>
      <c r="N773" s="42">
        <f t="shared" si="507"/>
        <v>0</v>
      </c>
      <c r="O773" s="42">
        <f t="shared" si="503"/>
        <v>0</v>
      </c>
      <c r="P773" s="42">
        <f t="shared" si="504"/>
        <v>0</v>
      </c>
      <c r="Q773" s="42">
        <f t="shared" ref="Q773:S773" si="508">Q776+Q779</f>
        <v>0</v>
      </c>
      <c r="R773" s="42">
        <f t="shared" si="508"/>
        <v>0</v>
      </c>
      <c r="S773" s="42">
        <f t="shared" si="508"/>
        <v>0</v>
      </c>
      <c r="T773" s="42">
        <f t="shared" si="505"/>
        <v>0</v>
      </c>
      <c r="U773" s="42">
        <f t="shared" si="506"/>
        <v>0</v>
      </c>
    </row>
    <row r="774" spans="1:21" ht="18.75" x14ac:dyDescent="0.25">
      <c r="A774" s="142"/>
      <c r="B774" s="170"/>
      <c r="C774" s="183"/>
      <c r="D774" s="153"/>
      <c r="E774" s="43" t="s">
        <v>166</v>
      </c>
      <c r="F774" s="36"/>
      <c r="G774" s="38"/>
      <c r="H774" s="148" t="s">
        <v>14</v>
      </c>
      <c r="I774" s="40"/>
      <c r="J774" s="40"/>
      <c r="K774" s="41"/>
      <c r="L774" s="42">
        <f t="shared" ref="L774:N774" si="509">L777+L780</f>
        <v>0</v>
      </c>
      <c r="M774" s="42">
        <f t="shared" si="509"/>
        <v>0</v>
      </c>
      <c r="N774" s="42">
        <f t="shared" si="509"/>
        <v>0</v>
      </c>
      <c r="O774" s="42">
        <f t="shared" si="503"/>
        <v>0</v>
      </c>
      <c r="P774" s="42">
        <f t="shared" si="504"/>
        <v>0</v>
      </c>
      <c r="Q774" s="42">
        <f ca="1">IFERROR(__xludf.DUMMYFUNCTION("IMPORTRANGE(""https://docs.google.com/spreadsheets/d/1l6IZ8xUPgMrESzcTYwhA1k_tPjeQjJPTqlm8Gd9eU5g/edit?usp=sharing"",""มหาสารคาม!Q788"")"),3073400)</f>
        <v>3073400</v>
      </c>
      <c r="R774" s="42">
        <f ca="1">IFERROR(__xludf.DUMMYFUNCTION("IMPORTRANGE(""https://docs.google.com/spreadsheets/d/1l6IZ8xUPgMrESzcTYwhA1k_tPjeQjJPTqlm8Gd9eU5g/edit?usp=sharing"",""มหาสารคาม!R788"")"),3073400)</f>
        <v>3073400</v>
      </c>
      <c r="S774" s="42">
        <f ca="1">IFERROR(__xludf.DUMMYFUNCTION("IMPORTRANGE(""https://docs.google.com/spreadsheets/d/1l6IZ8xUPgMrESzcTYwhA1k_tPjeQjJPTqlm8Gd9eU5g/edit?usp=sharing"",""มหาสารคาม!S788"")"),2400)</f>
        <v>2400</v>
      </c>
      <c r="T774" s="42">
        <f t="shared" ca="1" si="505"/>
        <v>7.808941237717186E-2</v>
      </c>
      <c r="U774" s="42">
        <f t="shared" ca="1" si="506"/>
        <v>7.808941237717186E-2</v>
      </c>
    </row>
    <row r="775" spans="1:21" ht="18.75" x14ac:dyDescent="0.25">
      <c r="A775" s="142"/>
      <c r="B775" s="170"/>
      <c r="C775" s="183"/>
      <c r="D775" s="171" t="s">
        <v>22</v>
      </c>
      <c r="E775" s="36"/>
      <c r="F775" s="36"/>
      <c r="G775" s="38"/>
      <c r="H775" s="148" t="s">
        <v>14</v>
      </c>
      <c r="I775" s="149"/>
      <c r="J775" s="149"/>
      <c r="K775" s="150"/>
      <c r="L775" s="42">
        <f t="shared" ref="L775:N775" si="510">L776+L777</f>
        <v>0</v>
      </c>
      <c r="M775" s="42">
        <f t="shared" si="510"/>
        <v>0</v>
      </c>
      <c r="N775" s="42">
        <f t="shared" si="510"/>
        <v>0</v>
      </c>
      <c r="O775" s="42">
        <f t="shared" si="503"/>
        <v>0</v>
      </c>
      <c r="P775" s="42">
        <f t="shared" si="504"/>
        <v>0</v>
      </c>
      <c r="Q775" s="42">
        <f t="shared" ref="Q775:S775" ca="1" si="511">Q776+Q777</f>
        <v>0</v>
      </c>
      <c r="R775" s="42">
        <f t="shared" ca="1" si="511"/>
        <v>0</v>
      </c>
      <c r="S775" s="42">
        <f t="shared" ca="1" si="511"/>
        <v>0</v>
      </c>
      <c r="T775" s="42">
        <f t="shared" ca="1" si="505"/>
        <v>0</v>
      </c>
      <c r="U775" s="42">
        <f t="shared" ca="1" si="506"/>
        <v>0</v>
      </c>
    </row>
    <row r="776" spans="1:21" ht="18.75" x14ac:dyDescent="0.25">
      <c r="A776" s="142"/>
      <c r="B776" s="170"/>
      <c r="C776" s="183"/>
      <c r="D776" s="153"/>
      <c r="E776" s="43" t="s">
        <v>165</v>
      </c>
      <c r="F776" s="36"/>
      <c r="G776" s="38"/>
      <c r="H776" s="148" t="s">
        <v>14</v>
      </c>
      <c r="I776" s="40"/>
      <c r="J776" s="40"/>
      <c r="K776" s="41"/>
      <c r="L776" s="42">
        <v>0</v>
      </c>
      <c r="M776" s="42">
        <v>0</v>
      </c>
      <c r="N776" s="42">
        <v>0</v>
      </c>
      <c r="O776" s="42">
        <f t="shared" si="503"/>
        <v>0</v>
      </c>
      <c r="P776" s="42">
        <f t="shared" si="504"/>
        <v>0</v>
      </c>
      <c r="Q776" s="42">
        <v>0</v>
      </c>
      <c r="R776" s="42">
        <v>0</v>
      </c>
      <c r="S776" s="42">
        <v>0</v>
      </c>
      <c r="T776" s="42">
        <f t="shared" si="505"/>
        <v>0</v>
      </c>
      <c r="U776" s="42">
        <f t="shared" si="506"/>
        <v>0</v>
      </c>
    </row>
    <row r="777" spans="1:21" ht="18.75" x14ac:dyDescent="0.25">
      <c r="A777" s="142"/>
      <c r="B777" s="170"/>
      <c r="C777" s="183"/>
      <c r="D777" s="153"/>
      <c r="E777" s="43" t="s">
        <v>166</v>
      </c>
      <c r="F777" s="36"/>
      <c r="G777" s="38"/>
      <c r="H777" s="148" t="s">
        <v>14</v>
      </c>
      <c r="I777" s="40"/>
      <c r="J777" s="40"/>
      <c r="K777" s="41"/>
      <c r="L777" s="42">
        <v>0</v>
      </c>
      <c r="M777" s="42">
        <v>0</v>
      </c>
      <c r="N777" s="42">
        <v>0</v>
      </c>
      <c r="O777" s="42">
        <f t="shared" si="503"/>
        <v>0</v>
      </c>
      <c r="P777" s="42">
        <f t="shared" si="504"/>
        <v>0</v>
      </c>
      <c r="Q777" s="42">
        <f ca="1">IFERROR(__xludf.DUMMYFUNCTION("IMPORTRANGE(""https://docs.google.com/spreadsheets/d/1l6IZ8xUPgMrESzcTYwhA1k_tPjeQjJPTqlm8Gd9eU5g/edit?usp=sharing"",""มหาสารคาม!Q793"")"),0)</f>
        <v>0</v>
      </c>
      <c r="R777" s="42">
        <f ca="1">IFERROR(__xludf.DUMMYFUNCTION("IMPORTRANGE(""https://docs.google.com/spreadsheets/d/1l6IZ8xUPgMrESzcTYwhA1k_tPjeQjJPTqlm8Gd9eU5g/edit?usp=sharing"",""มหาสารคาม!R793"")"),0)</f>
        <v>0</v>
      </c>
      <c r="S777" s="42">
        <f ca="1">IFERROR(__xludf.DUMMYFUNCTION("IMPORTRANGE(""https://docs.google.com/spreadsheets/d/1l6IZ8xUPgMrESzcTYwhA1k_tPjeQjJPTqlm8Gd9eU5g/edit?usp=sharing"",""มหาสารคาม!S793"")"),0)</f>
        <v>0</v>
      </c>
      <c r="T777" s="42">
        <f t="shared" ca="1" si="505"/>
        <v>0</v>
      </c>
      <c r="U777" s="42">
        <f t="shared" ca="1" si="506"/>
        <v>0</v>
      </c>
    </row>
    <row r="778" spans="1:21" ht="18.75" x14ac:dyDescent="0.25">
      <c r="A778" s="142"/>
      <c r="B778" s="170"/>
      <c r="C778" s="170"/>
      <c r="D778" s="171" t="s">
        <v>23</v>
      </c>
      <c r="E778" s="170"/>
      <c r="F778" s="36"/>
      <c r="G778" s="38"/>
      <c r="H778" s="151" t="s">
        <v>14</v>
      </c>
      <c r="I778" s="149"/>
      <c r="J778" s="149"/>
      <c r="K778" s="150"/>
      <c r="L778" s="42">
        <f t="shared" ref="L778:N778" si="512">L779+L780</f>
        <v>0</v>
      </c>
      <c r="M778" s="42">
        <f t="shared" si="512"/>
        <v>0</v>
      </c>
      <c r="N778" s="42">
        <f t="shared" si="512"/>
        <v>0</v>
      </c>
      <c r="O778" s="42">
        <f t="shared" si="503"/>
        <v>0</v>
      </c>
      <c r="P778" s="42">
        <f t="shared" si="504"/>
        <v>0</v>
      </c>
      <c r="Q778" s="42">
        <f t="shared" ref="Q778:S778" ca="1" si="513">Q779+Q780</f>
        <v>0</v>
      </c>
      <c r="R778" s="42">
        <f t="shared" ca="1" si="513"/>
        <v>0</v>
      </c>
      <c r="S778" s="42">
        <f t="shared" ca="1" si="513"/>
        <v>0</v>
      </c>
      <c r="T778" s="42">
        <f t="shared" ca="1" si="505"/>
        <v>0</v>
      </c>
      <c r="U778" s="42">
        <f t="shared" ca="1" si="506"/>
        <v>0</v>
      </c>
    </row>
    <row r="779" spans="1:21" ht="18.75" x14ac:dyDescent="0.25">
      <c r="A779" s="142"/>
      <c r="B779" s="170"/>
      <c r="C779" s="170"/>
      <c r="D779" s="170"/>
      <c r="E779" s="214" t="s">
        <v>20</v>
      </c>
      <c r="F779" s="36"/>
      <c r="G779" s="38"/>
      <c r="H779" s="148" t="s">
        <v>14</v>
      </c>
      <c r="I779" s="149"/>
      <c r="J779" s="149"/>
      <c r="K779" s="150"/>
      <c r="L779" s="42">
        <v>0</v>
      </c>
      <c r="M779" s="42">
        <v>0</v>
      </c>
      <c r="N779" s="42">
        <v>0</v>
      </c>
      <c r="O779" s="42">
        <f t="shared" si="503"/>
        <v>0</v>
      </c>
      <c r="P779" s="42">
        <f t="shared" si="504"/>
        <v>0</v>
      </c>
      <c r="Q779" s="42">
        <v>0</v>
      </c>
      <c r="R779" s="42">
        <v>0</v>
      </c>
      <c r="S779" s="42">
        <v>0</v>
      </c>
      <c r="T779" s="42">
        <f t="shared" si="505"/>
        <v>0</v>
      </c>
      <c r="U779" s="42">
        <f t="shared" si="506"/>
        <v>0</v>
      </c>
    </row>
    <row r="780" spans="1:21" ht="18.75" x14ac:dyDescent="0.25">
      <c r="A780" s="142"/>
      <c r="B780" s="170"/>
      <c r="C780" s="170"/>
      <c r="D780" s="170"/>
      <c r="E780" s="214" t="s">
        <v>21</v>
      </c>
      <c r="F780" s="36"/>
      <c r="G780" s="38"/>
      <c r="H780" s="151" t="s">
        <v>14</v>
      </c>
      <c r="I780" s="149"/>
      <c r="J780" s="149"/>
      <c r="K780" s="150"/>
      <c r="L780" s="42">
        <v>0</v>
      </c>
      <c r="M780" s="42">
        <v>0</v>
      </c>
      <c r="N780" s="42">
        <v>0</v>
      </c>
      <c r="O780" s="42">
        <f t="shared" si="503"/>
        <v>0</v>
      </c>
      <c r="P780" s="42">
        <f t="shared" si="504"/>
        <v>0</v>
      </c>
      <c r="Q780" s="42">
        <f ca="1">IFERROR(__xludf.DUMMYFUNCTION("IMPORTRANGE(""https://docs.google.com/spreadsheets/d/1l6IZ8xUPgMrESzcTYwhA1k_tPjeQjJPTqlm8Gd9eU5g/edit?usp=sharing"",""มหาสารคาม!Q796"")"),0)</f>
        <v>0</v>
      </c>
      <c r="R780" s="42">
        <f ca="1">IFERROR(__xludf.DUMMYFUNCTION("IMPORTRANGE(""https://docs.google.com/spreadsheets/d/1l6IZ8xUPgMrESzcTYwhA1k_tPjeQjJPTqlm8Gd9eU5g/edit?usp=sharing"",""มหาสารคาม!R796"")"),0)</f>
        <v>0</v>
      </c>
      <c r="S780" s="42">
        <f ca="1">IFERROR(__xludf.DUMMYFUNCTION("IMPORTRANGE(""https://docs.google.com/spreadsheets/d/1l6IZ8xUPgMrESzcTYwhA1k_tPjeQjJPTqlm8Gd9eU5g/edit?usp=sharing"",""มหาสารคาม!S796"")"),0)</f>
        <v>0</v>
      </c>
      <c r="T780" s="42">
        <f t="shared" ca="1" si="505"/>
        <v>0</v>
      </c>
      <c r="U780" s="42">
        <f t="shared" ca="1" si="506"/>
        <v>0</v>
      </c>
    </row>
    <row r="781" spans="1:21" ht="19.5" x14ac:dyDescent="0.3">
      <c r="A781" s="152"/>
      <c r="B781" s="153"/>
      <c r="C781" s="143" t="s">
        <v>18</v>
      </c>
      <c r="D781" s="448" t="s">
        <v>38</v>
      </c>
      <c r="E781" s="208"/>
      <c r="F781" s="155"/>
      <c r="G781" s="156"/>
      <c r="H781" s="185"/>
      <c r="I781" s="40"/>
      <c r="J781" s="40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</row>
    <row r="782" spans="1:21" ht="18.75" x14ac:dyDescent="0.25">
      <c r="A782" s="152"/>
      <c r="B782" s="153"/>
      <c r="C782" s="153"/>
      <c r="D782" s="415" t="s">
        <v>295</v>
      </c>
      <c r="E782" s="153"/>
      <c r="F782" s="159"/>
      <c r="G782" s="157"/>
      <c r="H782" s="151" t="s">
        <v>61</v>
      </c>
      <c r="I782" s="176">
        <v>1</v>
      </c>
      <c r="J782" s="176">
        <f ca="1">IFERROR(__xludf.DUMMYFUNCTION("IMPORTRANGE(""https://docs.google.com/spreadsheets/d/1l6IZ8xUPgMrESzcTYwhA1k_tPjeQjJPTqlm8Gd9eU5g/edit?usp=sharing"",""มหาสารคาม!J798"")"),0)</f>
        <v>0</v>
      </c>
      <c r="K782" s="42">
        <f t="shared" ref="K782:K783" ca="1" si="514">IF(I782&gt;0,J782*100/I782,0)</f>
        <v>0</v>
      </c>
      <c r="L782" s="41"/>
      <c r="M782" s="41"/>
      <c r="N782" s="41"/>
      <c r="O782" s="41"/>
      <c r="P782" s="41"/>
      <c r="Q782" s="41"/>
      <c r="R782" s="41"/>
      <c r="S782" s="41"/>
      <c r="T782" s="42">
        <f t="shared" ref="T782:T783" si="515">IF(Q782&gt;0,S782*100/Q782,0)</f>
        <v>0</v>
      </c>
      <c r="U782" s="42">
        <f t="shared" ref="U782:U783" si="516">IF(R782&gt;0,S782*100/R782,0)</f>
        <v>0</v>
      </c>
    </row>
    <row r="783" spans="1:21" ht="18.75" x14ac:dyDescent="0.25">
      <c r="A783" s="256"/>
      <c r="B783" s="257"/>
      <c r="C783" s="257"/>
      <c r="D783" s="480" t="s">
        <v>296</v>
      </c>
      <c r="E783" s="257"/>
      <c r="F783" s="259"/>
      <c r="G783" s="260"/>
      <c r="H783" s="192" t="s">
        <v>61</v>
      </c>
      <c r="I783" s="193">
        <v>1</v>
      </c>
      <c r="J783" s="193">
        <f ca="1">IFERROR(__xludf.DUMMYFUNCTION("IMPORTRANGE(""https://docs.google.com/spreadsheets/d/1l6IZ8xUPgMrESzcTYwhA1k_tPjeQjJPTqlm8Gd9eU5g/edit?usp=sharing"",""มหาสารคาม!J799"")"),0)</f>
        <v>0</v>
      </c>
      <c r="K783" s="124">
        <f t="shared" ca="1" si="514"/>
        <v>0</v>
      </c>
      <c r="L783" s="52"/>
      <c r="M783" s="52"/>
      <c r="N783" s="52"/>
      <c r="O783" s="52"/>
      <c r="P783" s="52"/>
      <c r="Q783" s="52"/>
      <c r="R783" s="52"/>
      <c r="S783" s="52"/>
      <c r="T783" s="124">
        <f t="shared" si="515"/>
        <v>0</v>
      </c>
      <c r="U783" s="124">
        <f t="shared" si="516"/>
        <v>0</v>
      </c>
    </row>
    <row r="784" spans="1:21" ht="19.5" x14ac:dyDescent="0.3">
      <c r="A784" s="481" t="s">
        <v>297</v>
      </c>
      <c r="B784" s="482"/>
      <c r="C784" s="482"/>
      <c r="D784" s="482"/>
      <c r="E784" s="483"/>
      <c r="F784" s="483"/>
      <c r="G784" s="484"/>
      <c r="H784" s="485" t="str">
        <f ca="1">IFERROR(__xludf.DUMMYFUNCTION("IMPORTRANGE(""https://docs.google.com/spreadsheets/d/1gNPQPjxUj63ZZXIIIm2aX4x3w7PhAZpC9JuXdbpWwUQ/edit?usp=sharing"",""Sheet1!b2"")")," (ข้อมูล ณ 31 ส.ค. 67)")</f>
        <v xml:space="preserve"> (ข้อมูล ณ 31 ส.ค. 67)</v>
      </c>
      <c r="I784" s="486"/>
      <c r="J784" s="487"/>
      <c r="K784" s="488"/>
      <c r="L784" s="488"/>
      <c r="M784" s="488"/>
      <c r="N784" s="488"/>
      <c r="O784" s="488"/>
      <c r="P784" s="488"/>
      <c r="Q784" s="488"/>
      <c r="R784" s="488"/>
      <c r="S784" s="488"/>
      <c r="T784" s="488"/>
      <c r="U784" s="488"/>
    </row>
    <row r="785" spans="1:21" ht="18.75" x14ac:dyDescent="0.25">
      <c r="A785" s="213"/>
      <c r="B785" s="214" t="s">
        <v>298</v>
      </c>
      <c r="C785" s="170"/>
      <c r="D785" s="170"/>
      <c r="E785" s="36"/>
      <c r="F785" s="36"/>
      <c r="G785" s="38"/>
      <c r="H785" s="147" t="s">
        <v>14</v>
      </c>
      <c r="I785" s="176">
        <f ca="1">IFERROR(__xludf.DUMMYFUNCTION("IMPORTRANGE(""https://docs.google.com/spreadsheets/d/12pGRKgvn2b31Uz_fjAl3XPzZUM_F2_O-zAHL2XHEPZg/edit?usp=sharing"",""รวมเหนือ!I778"")+IMPORTRANGE(""https://docs.google.com/spreadsheets/d/1c0UfJUA6nE6esVMy0kRcX_PENtt96DMxicQpqi3tips/edit?usp=sharing"","""&amp;"รวมตะวันออกเฉียงเหนือ!I778"")+IMPORTRANGE(""https://docs.google.com/spreadsheets/d/1iNWbYmj0agxPDl_yJgGu1eIremFPVMUuMWUKAjBzvrk/edit?usp=sharing"",""รวมกลาง!I778"")+IMPORTRANGE(""https://docs.google.com/spreadsheets/d/1uenpWDAH2bchvfvsSIjpd4bRU5D1faxJOaE3"&amp;"4GQM5-c/edit?usp=sharing"",""รวมใต้!I778"")"),227516641.619999)</f>
        <v>227516641.61999899</v>
      </c>
      <c r="J785" s="176">
        <f ca="1">IFERROR(__xludf.DUMMYFUNCTION("IMPORTRANGE(""https://docs.google.com/spreadsheets/d/12pGRKgvn2b31Uz_fjAl3XPzZUM_F2_O-zAHL2XHEPZg/edit?usp=sharing"",""รวมเหนือ!J778"")+IMPORTRANGE(""https://docs.google.com/spreadsheets/d/1c0UfJUA6nE6esVMy0kRcX_PENtt96DMxicQpqi3tips/edit?usp=sharing"","""&amp;"รวมตะวันออกเฉียงเหนือ!J778"")+IMPORTRANGE(""https://docs.google.com/spreadsheets/d/1iNWbYmj0agxPDl_yJgGu1eIremFPVMUuMWUKAjBzvrk/edit?usp=sharing"",""รวมกลาง!J778"")+IMPORTRANGE(""https://docs.google.com/spreadsheets/d/1uenpWDAH2bchvfvsSIjpd4bRU5D1faxJOaE3"&amp;"4GQM5-c/edit?usp=sharing"",""รวมใต้!J778"")"),219222292.15)</f>
        <v>219222292.15000001</v>
      </c>
      <c r="K785" s="42">
        <f t="shared" ref="K785:K792" ca="1" si="517">IF(I785&gt;0,J785*100/I785,0)</f>
        <v>96.354398776748681</v>
      </c>
      <c r="L785" s="41"/>
      <c r="M785" s="41"/>
      <c r="N785" s="41"/>
      <c r="O785" s="41"/>
      <c r="P785" s="41"/>
      <c r="Q785" s="41"/>
      <c r="R785" s="41"/>
      <c r="S785" s="41"/>
      <c r="T785" s="41"/>
      <c r="U785" s="41"/>
    </row>
    <row r="786" spans="1:21" ht="18.75" x14ac:dyDescent="0.25">
      <c r="A786" s="213"/>
      <c r="B786" s="170"/>
      <c r="C786" s="170"/>
      <c r="D786" s="170"/>
      <c r="E786" s="36"/>
      <c r="F786" s="36"/>
      <c r="G786" s="38"/>
      <c r="H786" s="147" t="s">
        <v>35</v>
      </c>
      <c r="I786" s="176">
        <f ca="1">IFERROR(__xludf.DUMMYFUNCTION("IMPORTRANGE(""https://docs.google.com/spreadsheets/d/12pGRKgvn2b31Uz_fjAl3XPzZUM_F2_O-zAHL2XHEPZg/edit?usp=sharing"",""รวมเหนือ!I779"")+IMPORTRANGE(""https://docs.google.com/spreadsheets/d/1c0UfJUA6nE6esVMy0kRcX_PENtt96DMxicQpqi3tips/edit?usp=sharing"","""&amp;"รวมตะวันออกเฉียงเหนือ!I779"")+IMPORTRANGE(""https://docs.google.com/spreadsheets/d/1iNWbYmj0agxPDl_yJgGu1eIremFPVMUuMWUKAjBzvrk/edit?usp=sharing"",""รวมกลาง!I779"")+IMPORTRANGE(""https://docs.google.com/spreadsheets/d/1uenpWDAH2bchvfvsSIjpd4bRU5D1faxJOaE3"&amp;"4GQM5-c/edit?usp=sharing"",""รวมใต้!I779"")"),12349)</f>
        <v>12349</v>
      </c>
      <c r="J786" s="176">
        <f ca="1">IFERROR(__xludf.DUMMYFUNCTION("IMPORTRANGE(""https://docs.google.com/spreadsheets/d/12pGRKgvn2b31Uz_fjAl3XPzZUM_F2_O-zAHL2XHEPZg/edit?usp=sharing"",""รวมเหนือ!J779"")+IMPORTRANGE(""https://docs.google.com/spreadsheets/d/1c0UfJUA6nE6esVMy0kRcX_PENtt96DMxicQpqi3tips/edit?usp=sharing"","""&amp;"รวมตะวันออกเฉียงเหนือ!J779"")+IMPORTRANGE(""https://docs.google.com/spreadsheets/d/1iNWbYmj0agxPDl_yJgGu1eIremFPVMUuMWUKAjBzvrk/edit?usp=sharing"",""รวมกลาง!J779"")+IMPORTRANGE(""https://docs.google.com/spreadsheets/d/1uenpWDAH2bchvfvsSIjpd4bRU5D1faxJOaE3"&amp;"4GQM5-c/edit?usp=sharing"",""รวมใต้!J779"")"),13026)</f>
        <v>13026</v>
      </c>
      <c r="K786" s="42">
        <f t="shared" ca="1" si="517"/>
        <v>105.48222528139931</v>
      </c>
      <c r="L786" s="41"/>
      <c r="M786" s="41"/>
      <c r="N786" s="41"/>
      <c r="O786" s="41"/>
      <c r="P786" s="41"/>
      <c r="Q786" s="41"/>
      <c r="R786" s="41"/>
      <c r="S786" s="41"/>
      <c r="T786" s="41"/>
      <c r="U786" s="41"/>
    </row>
    <row r="787" spans="1:21" ht="18.75" x14ac:dyDescent="0.25">
      <c r="A787" s="213"/>
      <c r="B787" s="214" t="s">
        <v>299</v>
      </c>
      <c r="C787" s="170"/>
      <c r="D787" s="170"/>
      <c r="E787" s="36"/>
      <c r="F787" s="36"/>
      <c r="G787" s="38"/>
      <c r="H787" s="147" t="s">
        <v>14</v>
      </c>
      <c r="I787" s="176">
        <f ca="1">IFERROR(__xludf.DUMMYFUNCTION("IMPORTRANGE(""https://docs.google.com/spreadsheets/d/12pGRKgvn2b31Uz_fjAl3XPzZUM_F2_O-zAHL2XHEPZg/edit?usp=sharing"",""รวมเหนือ!I780"")+IMPORTRANGE(""https://docs.google.com/spreadsheets/d/1c0UfJUA6nE6esVMy0kRcX_PENtt96DMxicQpqi3tips/edit?usp=sharing"","""&amp;"รวมตะวันออกเฉียงเหนือ!I780"")+IMPORTRANGE(""https://docs.google.com/spreadsheets/d/1iNWbYmj0agxPDl_yJgGu1eIremFPVMUuMWUKAjBzvrk/edit?usp=sharing"",""รวมกลาง!I780"")+IMPORTRANGE(""https://docs.google.com/spreadsheets/d/1uenpWDAH2bchvfvsSIjpd4bRU5D1faxJOaE3"&amp;"4GQM5-c/edit?usp=sharing"",""รวมใต้!I780"")"),391119032.87)</f>
        <v>391119032.87</v>
      </c>
      <c r="J787" s="176">
        <f ca="1">IFERROR(__xludf.DUMMYFUNCTION("IMPORTRANGE(""https://docs.google.com/spreadsheets/d/12pGRKgvn2b31Uz_fjAl3XPzZUM_F2_O-zAHL2XHEPZg/edit?usp=sharing"",""รวมเหนือ!J780"")+IMPORTRANGE(""https://docs.google.com/spreadsheets/d/1c0UfJUA6nE6esVMy0kRcX_PENtt96DMxicQpqi3tips/edit?usp=sharing"","""&amp;"รวมตะวันออกเฉียงเหนือ!J780"")+IMPORTRANGE(""https://docs.google.com/spreadsheets/d/1iNWbYmj0agxPDl_yJgGu1eIremFPVMUuMWUKAjBzvrk/edit?usp=sharing"",""รวมกลาง!J780"")+IMPORTRANGE(""https://docs.google.com/spreadsheets/d/1uenpWDAH2bchvfvsSIjpd4bRU5D1faxJOaE3"&amp;"4GQM5-c/edit?usp=sharing"",""รวมใต้!J780"")"),50073571.62)</f>
        <v>50073571.619999997</v>
      </c>
      <c r="K787" s="42">
        <f t="shared" ca="1" si="517"/>
        <v>12.802642523572468</v>
      </c>
      <c r="L787" s="41"/>
      <c r="M787" s="41"/>
      <c r="N787" s="41"/>
      <c r="O787" s="41"/>
      <c r="P787" s="41"/>
      <c r="Q787" s="41"/>
      <c r="R787" s="41"/>
      <c r="S787" s="41"/>
      <c r="T787" s="41"/>
      <c r="U787" s="41"/>
    </row>
    <row r="788" spans="1:21" ht="18.75" x14ac:dyDescent="0.25">
      <c r="A788" s="213"/>
      <c r="B788" s="170"/>
      <c r="C788" s="170"/>
      <c r="D788" s="170"/>
      <c r="E788" s="36"/>
      <c r="F788" s="36"/>
      <c r="G788" s="38"/>
      <c r="H788" s="147" t="s">
        <v>35</v>
      </c>
      <c r="I788" s="176">
        <f ca="1">IFERROR(__xludf.DUMMYFUNCTION("IMPORTRANGE(""https://docs.google.com/spreadsheets/d/12pGRKgvn2b31Uz_fjAl3XPzZUM_F2_O-zAHL2XHEPZg/edit?usp=sharing"",""รวมเหนือ!I781"")+IMPORTRANGE(""https://docs.google.com/spreadsheets/d/1c0UfJUA6nE6esVMy0kRcX_PENtt96DMxicQpqi3tips/edit?usp=sharing"","""&amp;"รวมตะวันออกเฉียงเหนือ!I781"")+IMPORTRANGE(""https://docs.google.com/spreadsheets/d/1iNWbYmj0agxPDl_yJgGu1eIremFPVMUuMWUKAjBzvrk/edit?usp=sharing"",""รวมกลาง!I781"")+IMPORTRANGE(""https://docs.google.com/spreadsheets/d/1uenpWDAH2bchvfvsSIjpd4bRU5D1faxJOaE3"&amp;"4GQM5-c/edit?usp=sharing"",""รวมใต้!I781"")"),15734)</f>
        <v>15734</v>
      </c>
      <c r="J788" s="176">
        <f ca="1">IFERROR(__xludf.DUMMYFUNCTION("IMPORTRANGE(""https://docs.google.com/spreadsheets/d/12pGRKgvn2b31Uz_fjAl3XPzZUM_F2_O-zAHL2XHEPZg/edit?usp=sharing"",""รวมเหนือ!J781"")+IMPORTRANGE(""https://docs.google.com/spreadsheets/d/1c0UfJUA6nE6esVMy0kRcX_PENtt96DMxicQpqi3tips/edit?usp=sharing"","""&amp;"รวมตะวันออกเฉียงเหนือ!J781"")+IMPORTRANGE(""https://docs.google.com/spreadsheets/d/1iNWbYmj0agxPDl_yJgGu1eIremFPVMUuMWUKAjBzvrk/edit?usp=sharing"",""รวมกลาง!J781"")+IMPORTRANGE(""https://docs.google.com/spreadsheets/d/1uenpWDAH2bchvfvsSIjpd4bRU5D1faxJOaE3"&amp;"4GQM5-c/edit?usp=sharing"",""รวมใต้!J781"")"),6584)</f>
        <v>6584</v>
      </c>
      <c r="K788" s="42">
        <f t="shared" ca="1" si="517"/>
        <v>41.84568450489386</v>
      </c>
      <c r="L788" s="41"/>
      <c r="M788" s="41"/>
      <c r="N788" s="41"/>
      <c r="O788" s="41"/>
      <c r="P788" s="41"/>
      <c r="Q788" s="41"/>
      <c r="R788" s="41"/>
      <c r="S788" s="41"/>
      <c r="T788" s="41"/>
      <c r="U788" s="41"/>
    </row>
    <row r="789" spans="1:21" ht="18.75" x14ac:dyDescent="0.25">
      <c r="A789" s="213"/>
      <c r="B789" s="214" t="s">
        <v>300</v>
      </c>
      <c r="C789" s="170"/>
      <c r="D789" s="170"/>
      <c r="E789" s="36"/>
      <c r="F789" s="36"/>
      <c r="G789" s="38"/>
      <c r="H789" s="147" t="s">
        <v>14</v>
      </c>
      <c r="I789" s="176">
        <f ca="1">IFERROR(__xludf.DUMMYFUNCTION("IMPORTRANGE(""https://docs.google.com/spreadsheets/d/12pGRKgvn2b31Uz_fjAl3XPzZUM_F2_O-zAHL2XHEPZg/edit?usp=sharing"",""รวมเหนือ!I782"")+IMPORTRANGE(""https://docs.google.com/spreadsheets/d/1c0UfJUA6nE6esVMy0kRcX_PENtt96DMxicQpqi3tips/edit?usp=sharing"","""&amp;"รวมตะวันออกเฉียงเหนือ!I782"")+IMPORTRANGE(""https://docs.google.com/spreadsheets/d/1iNWbYmj0agxPDl_yJgGu1eIremFPVMUuMWUKAjBzvrk/edit?usp=sharing"",""รวมกลาง!I782"")+IMPORTRANGE(""https://docs.google.com/spreadsheets/d/1uenpWDAH2bchvfvsSIjpd4bRU5D1faxJOaE3"&amp;"4GQM5-c/edit?usp=sharing"",""รวมใต้!I782"")"),104147404.15)</f>
        <v>104147404.15000001</v>
      </c>
      <c r="J789" s="176">
        <f ca="1">IFERROR(__xludf.DUMMYFUNCTION("IMPORTRANGE(""https://docs.google.com/spreadsheets/d/12pGRKgvn2b31Uz_fjAl3XPzZUM_F2_O-zAHL2XHEPZg/edit?usp=sharing"",""รวมเหนือ!J782"")+IMPORTRANGE(""https://docs.google.com/spreadsheets/d/1c0UfJUA6nE6esVMy0kRcX_PENtt96DMxicQpqi3tips/edit?usp=sharing"","""&amp;"รวมตะวันออกเฉียงเหนือ!J782"")+IMPORTRANGE(""https://docs.google.com/spreadsheets/d/1iNWbYmj0agxPDl_yJgGu1eIremFPVMUuMWUKAjBzvrk/edit?usp=sharing"",""รวมกลาง!J782"")+IMPORTRANGE(""https://docs.google.com/spreadsheets/d/1uenpWDAH2bchvfvsSIjpd4bRU5D1faxJOaE3"&amp;"4GQM5-c/edit?usp=sharing"",""รวมใต้!J782"")"),41947614.78)</f>
        <v>41947614.780000001</v>
      </c>
      <c r="K789" s="42">
        <f t="shared" ca="1" si="517"/>
        <v>40.277158247347444</v>
      </c>
      <c r="L789" s="41"/>
      <c r="M789" s="41"/>
      <c r="N789" s="41"/>
      <c r="O789" s="41"/>
      <c r="P789" s="41"/>
      <c r="Q789" s="41"/>
      <c r="R789" s="41"/>
      <c r="S789" s="41"/>
      <c r="T789" s="41"/>
      <c r="U789" s="41"/>
    </row>
    <row r="790" spans="1:21" ht="18.75" x14ac:dyDescent="0.25">
      <c r="A790" s="213"/>
      <c r="B790" s="170"/>
      <c r="C790" s="170"/>
      <c r="D790" s="170"/>
      <c r="E790" s="36"/>
      <c r="F790" s="36"/>
      <c r="G790" s="38"/>
      <c r="H790" s="147" t="s">
        <v>35</v>
      </c>
      <c r="I790" s="176">
        <f ca="1">IFERROR(__xludf.DUMMYFUNCTION("IMPORTRANGE(""https://docs.google.com/spreadsheets/d/12pGRKgvn2b31Uz_fjAl3XPzZUM_F2_O-zAHL2XHEPZg/edit?usp=sharing"",""รวมเหนือ!I783"")+IMPORTRANGE(""https://docs.google.com/spreadsheets/d/1c0UfJUA6nE6esVMy0kRcX_PENtt96DMxicQpqi3tips/edit?usp=sharing"","""&amp;"รวมตะวันออกเฉียงเหนือ!I783"")+IMPORTRANGE(""https://docs.google.com/spreadsheets/d/1iNWbYmj0agxPDl_yJgGu1eIremFPVMUuMWUKAjBzvrk/edit?usp=sharing"",""รวมกลาง!I783"")+IMPORTRANGE(""https://docs.google.com/spreadsheets/d/1uenpWDAH2bchvfvsSIjpd4bRU5D1faxJOaE3"&amp;"4GQM5-c/edit?usp=sharing"",""รวมใต้!I783"")"),17243)</f>
        <v>17243</v>
      </c>
      <c r="J790" s="176">
        <f ca="1">IFERROR(__xludf.DUMMYFUNCTION("IMPORTRANGE(""https://docs.google.com/spreadsheets/d/12pGRKgvn2b31Uz_fjAl3XPzZUM_F2_O-zAHL2XHEPZg/edit?usp=sharing"",""รวมเหนือ!J783"")+IMPORTRANGE(""https://docs.google.com/spreadsheets/d/1c0UfJUA6nE6esVMy0kRcX_PENtt96DMxicQpqi3tips/edit?usp=sharing"","""&amp;"รวมตะวันออกเฉียงเหนือ!J783"")+IMPORTRANGE(""https://docs.google.com/spreadsheets/d/1iNWbYmj0agxPDl_yJgGu1eIremFPVMUuMWUKAjBzvrk/edit?usp=sharing"",""รวมกลาง!J783"")+IMPORTRANGE(""https://docs.google.com/spreadsheets/d/1uenpWDAH2bchvfvsSIjpd4bRU5D1faxJOaE3"&amp;"4GQM5-c/edit?usp=sharing"",""รวมใต้!J783"")"),4859)</f>
        <v>4859</v>
      </c>
      <c r="K790" s="42">
        <f t="shared" ca="1" si="517"/>
        <v>28.179551122194514</v>
      </c>
      <c r="L790" s="41"/>
      <c r="M790" s="41"/>
      <c r="N790" s="41"/>
      <c r="O790" s="41"/>
      <c r="P790" s="41"/>
      <c r="Q790" s="41"/>
      <c r="R790" s="41"/>
      <c r="S790" s="41"/>
      <c r="T790" s="41"/>
      <c r="U790" s="41"/>
    </row>
    <row r="791" spans="1:21" ht="18.75" x14ac:dyDescent="0.25">
      <c r="A791" s="213"/>
      <c r="B791" s="214" t="s">
        <v>301</v>
      </c>
      <c r="C791" s="170"/>
      <c r="D791" s="170"/>
      <c r="E791" s="36"/>
      <c r="F791" s="36"/>
      <c r="G791" s="38"/>
      <c r="H791" s="147" t="s">
        <v>14</v>
      </c>
      <c r="I791" s="176">
        <f ca="1">IFERROR(__xludf.DUMMYFUNCTION("IMPORTRANGE(""https://docs.google.com/spreadsheets/d/12pGRKgvn2b31Uz_fjAl3XPzZUM_F2_O-zAHL2XHEPZg/edit?usp=sharing"",""รวมเหนือ!I784"")+IMPORTRANGE(""https://docs.google.com/spreadsheets/d/1c0UfJUA6nE6esVMy0kRcX_PENtt96DMxicQpqi3tips/edit?usp=sharing"","""&amp;"รวมตะวันออกเฉียงเหนือ!I784"")+IMPORTRANGE(""https://docs.google.com/spreadsheets/d/1iNWbYmj0agxPDl_yJgGu1eIremFPVMUuMWUKAjBzvrk/edit?usp=sharing"",""รวมกลาง!I784"")+IMPORTRANGE(""https://docs.google.com/spreadsheets/d/1uenpWDAH2bchvfvsSIjpd4bRU5D1faxJOaE3"&amp;"4GQM5-c/edit?usp=sharing"",""รวมใต้!I784"")"),393740000)</f>
        <v>393740000</v>
      </c>
      <c r="J791" s="176">
        <f ca="1">IFERROR(__xludf.DUMMYFUNCTION("IMPORTRANGE(""https://docs.google.com/spreadsheets/d/12pGRKgvn2b31Uz_fjAl3XPzZUM_F2_O-zAHL2XHEPZg/edit?usp=sharing"",""รวมเหนือ!J784"")+IMPORTRANGE(""https://docs.google.com/spreadsheets/d/1c0UfJUA6nE6esVMy0kRcX_PENtt96DMxicQpqi3tips/edit?usp=sharing"","""&amp;"รวมตะวันออกเฉียงเหนือ!J784"")+IMPORTRANGE(""https://docs.google.com/spreadsheets/d/1iNWbYmj0agxPDl_yJgGu1eIremFPVMUuMWUKAjBzvrk/edit?usp=sharing"",""รวมกลาง!J784"")+IMPORTRANGE(""https://docs.google.com/spreadsheets/d/1uenpWDAH2bchvfvsSIjpd4bRU5D1faxJOaE3"&amp;"4GQM5-c/edit?usp=sharing"",""รวมใต้!J784"")"),337951800)</f>
        <v>337951800</v>
      </c>
      <c r="K791" s="42">
        <f t="shared" ca="1" si="517"/>
        <v>85.831208411642194</v>
      </c>
      <c r="L791" s="41"/>
      <c r="M791" s="41"/>
      <c r="N791" s="41"/>
      <c r="O791" s="41"/>
      <c r="P791" s="41"/>
      <c r="Q791" s="41"/>
      <c r="R791" s="41"/>
      <c r="S791" s="41"/>
      <c r="T791" s="41"/>
      <c r="U791" s="41"/>
    </row>
    <row r="792" spans="1:21" ht="18.75" x14ac:dyDescent="0.25">
      <c r="A792" s="321"/>
      <c r="B792" s="322"/>
      <c r="C792" s="322"/>
      <c r="D792" s="322"/>
      <c r="E792" s="47"/>
      <c r="F792" s="47"/>
      <c r="G792" s="49"/>
      <c r="H792" s="357" t="s">
        <v>35</v>
      </c>
      <c r="I792" s="193">
        <f ca="1">IFERROR(__xludf.DUMMYFUNCTION("IMPORTRANGE(""https://docs.google.com/spreadsheets/d/12pGRKgvn2b31Uz_fjAl3XPzZUM_F2_O-zAHL2XHEPZg/edit?usp=sharing"",""รวมเหนือ!I785"")+IMPORTRANGE(""https://docs.google.com/spreadsheets/d/1c0UfJUA6nE6esVMy0kRcX_PENtt96DMxicQpqi3tips/edit?usp=sharing"","""&amp;"รวมตะวันออกเฉียงเหนือ!I785"")+IMPORTRANGE(""https://docs.google.com/spreadsheets/d/1iNWbYmj0agxPDl_yJgGu1eIremFPVMUuMWUKAjBzvrk/edit?usp=sharing"",""รวมกลาง!I785"")+IMPORTRANGE(""https://docs.google.com/spreadsheets/d/1uenpWDAH2bchvfvsSIjpd4bRU5D1faxJOaE3"&amp;"4GQM5-c/edit?usp=sharing"",""รวมใต้!I785"")"),13956)</f>
        <v>13956</v>
      </c>
      <c r="J792" s="193">
        <f ca="1">IFERROR(__xludf.DUMMYFUNCTION("IMPORTRANGE(""https://docs.google.com/spreadsheets/d/12pGRKgvn2b31Uz_fjAl3XPzZUM_F2_O-zAHL2XHEPZg/edit?usp=sharing"",""รวมเหนือ!J785"")+IMPORTRANGE(""https://docs.google.com/spreadsheets/d/1c0UfJUA6nE6esVMy0kRcX_PENtt96DMxicQpqi3tips/edit?usp=sharing"","""&amp;"รวมตะวันออกเฉียงเหนือ!J785"")+IMPORTRANGE(""https://docs.google.com/spreadsheets/d/1iNWbYmj0agxPDl_yJgGu1eIremFPVMUuMWUKAjBzvrk/edit?usp=sharing"",""รวมกลาง!J785"")+IMPORTRANGE(""https://docs.google.com/spreadsheets/d/1uenpWDAH2bchvfvsSIjpd4bRU5D1faxJOaE3"&amp;"4GQM5-c/edit?usp=sharing"",""รวมใต้!J785"")"),9058)</f>
        <v>9058</v>
      </c>
      <c r="K792" s="124">
        <f t="shared" ca="1" si="517"/>
        <v>64.903983949555752</v>
      </c>
      <c r="L792" s="52"/>
      <c r="M792" s="52"/>
      <c r="N792" s="52"/>
      <c r="O792" s="52"/>
      <c r="P792" s="52"/>
      <c r="Q792" s="52"/>
      <c r="R792" s="52"/>
      <c r="S792" s="52"/>
      <c r="T792" s="52"/>
      <c r="U792" s="52"/>
    </row>
    <row r="793" spans="1:21" ht="16.5" x14ac:dyDescent="0.25">
      <c r="A793" s="489"/>
      <c r="B793" s="490"/>
      <c r="C793" s="490"/>
      <c r="D793" s="490"/>
      <c r="E793" s="491"/>
      <c r="F793" s="491"/>
      <c r="G793" s="491"/>
      <c r="H793" s="490"/>
      <c r="I793" s="492"/>
      <c r="J793" s="492"/>
      <c r="K793" s="493"/>
      <c r="L793" s="493"/>
      <c r="M793" s="493"/>
      <c r="N793" s="493"/>
      <c r="O793" s="493"/>
      <c r="P793" s="493"/>
      <c r="Q793" s="490"/>
      <c r="R793" s="493"/>
      <c r="S793" s="493"/>
      <c r="T793" s="493"/>
      <c r="U793" s="493"/>
    </row>
    <row r="794" spans="1:21" ht="16.5" x14ac:dyDescent="0.25">
      <c r="A794" s="489" t="s">
        <v>302</v>
      </c>
      <c r="B794" s="490"/>
      <c r="C794" s="490"/>
      <c r="D794" s="490"/>
      <c r="E794" s="491"/>
      <c r="F794" s="491"/>
      <c r="G794" s="491"/>
      <c r="H794" s="490"/>
      <c r="I794" s="492"/>
      <c r="J794" s="492"/>
      <c r="K794" s="493"/>
      <c r="L794" s="493"/>
      <c r="M794" s="493"/>
      <c r="N794" s="493"/>
      <c r="O794" s="493"/>
      <c r="P794" s="493"/>
      <c r="Q794" s="490"/>
      <c r="R794" s="493"/>
      <c r="S794" s="493"/>
      <c r="T794" s="493"/>
      <c r="U794" s="493"/>
    </row>
    <row r="795" spans="1:21" ht="16.5" x14ac:dyDescent="0.25">
      <c r="A795" s="489" t="str">
        <f ca="1">IFERROR(__xludf.DUMMYFUNCTION("concatenate(""- ผลเบิกจ่ายงบประมาณประจำปีงบประมาณ ใช้ข้อมูลจากกลุ่มงบประมาณ สำนักบริหารกลาง "",IMPORTRANGE(""https://docs.google.com/spreadsheets/d/1gNPQPjxUj63ZZXIIIm2aX4x3w7PhAZpC9JuXdbpWwUQ/edit?usp=sharing"",""Sheet1!b1""))")," - ผลเบิกจ่ายงบประมาณประจำปีงบประมาณ ใช้ข้อมูลจากกลุ่มงบประมาณ สำนักบริหารกลาง ข้อมูล ณ 30 ก.ย. 2567")</f>
        <v xml:space="preserve"> - ผลเบิกจ่ายงบประมาณประจำปีงบประมาณ ใช้ข้อมูลจากกลุ่มงบประมาณ สำนักบริหารกลาง ข้อมูล ณ 30 ก.ย. 2567</v>
      </c>
      <c r="B795" s="490"/>
      <c r="C795" s="490"/>
      <c r="D795" s="490"/>
      <c r="E795" s="491"/>
      <c r="F795" s="491"/>
      <c r="G795" s="491"/>
      <c r="H795" s="490"/>
      <c r="I795" s="492"/>
      <c r="J795" s="492"/>
      <c r="K795" s="493"/>
      <c r="L795" s="493"/>
      <c r="M795" s="493"/>
      <c r="N795" s="493"/>
      <c r="O795" s="493"/>
      <c r="P795" s="493"/>
      <c r="Q795" s="490"/>
      <c r="R795" s="493"/>
      <c r="S795" s="493"/>
      <c r="T795" s="493"/>
      <c r="U795" s="493"/>
    </row>
    <row r="796" spans="1:21" ht="16.5" x14ac:dyDescent="0.25">
      <c r="A796" s="489" t="str">
        <f ca="1">IFERROR(__xludf.DUMMYFUNCTION("concatenate(""-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"",IMPORTRANGE(""https://docs.google.com/spreadsheets/d/1gNPQPjxUj63ZZXIIIm2aX4x3w7PhAZpC9JuXdbpWwUQ/edit?usp=sharing"",""Sheet1!b8"&amp;"""))"),"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10 ต.ค. 67 เวลา 14.52 น.")</f>
        <v xml:space="preserve">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10 ต.ค. 67 เวลา 14.52 น.</v>
      </c>
      <c r="B796" s="490"/>
      <c r="C796" s="490"/>
      <c r="D796" s="490"/>
      <c r="E796" s="491"/>
      <c r="F796" s="491"/>
      <c r="G796" s="491"/>
      <c r="H796" s="490"/>
      <c r="I796" s="492"/>
      <c r="J796" s="492"/>
      <c r="K796" s="493"/>
      <c r="L796" s="493"/>
      <c r="M796" s="493"/>
      <c r="N796" s="493"/>
      <c r="O796" s="493"/>
      <c r="P796" s="493"/>
      <c r="Q796" s="490"/>
      <c r="R796" s="493"/>
      <c r="S796" s="493"/>
      <c r="T796" s="493"/>
      <c r="U796" s="493"/>
    </row>
  </sheetData>
  <mergeCells count="27">
    <mergeCell ref="A56:G56"/>
    <mergeCell ref="B57:G57"/>
    <mergeCell ref="D411:G411"/>
    <mergeCell ref="D753:G753"/>
    <mergeCell ref="D772:G772"/>
    <mergeCell ref="D491:G491"/>
    <mergeCell ref="D597:G597"/>
    <mergeCell ref="D614:G614"/>
    <mergeCell ref="D640:G640"/>
    <mergeCell ref="D688:G688"/>
    <mergeCell ref="D707:G707"/>
    <mergeCell ref="D721:G721"/>
    <mergeCell ref="A7:G7"/>
    <mergeCell ref="L5:M5"/>
    <mergeCell ref="N5:P5"/>
    <mergeCell ref="A17:G17"/>
    <mergeCell ref="A30:G30"/>
    <mergeCell ref="A1:U1"/>
    <mergeCell ref="A2:U2"/>
    <mergeCell ref="A3:U3"/>
    <mergeCell ref="Q5:R5"/>
    <mergeCell ref="S5:U5"/>
    <mergeCell ref="A4:G6"/>
    <mergeCell ref="H4:H6"/>
    <mergeCell ref="I4:K5"/>
    <mergeCell ref="L4:P4"/>
    <mergeCell ref="Q4:U4"/>
  </mergeCells>
  <printOptions horizontalCentered="1"/>
  <pageMargins left="0.23622047244094491" right="0.23622047244094491" top="0.74803149606299213" bottom="0.74803149606299213" header="0" footer="0"/>
  <pageSetup paperSize="9" scale="42" fitToHeight="0" pageOrder="overThenDown" orientation="landscape" cellComments="atEnd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14" manualBreakCount="14">
    <brk id="67" max="16383" man="1"/>
    <brk id="132" max="16383" man="1"/>
    <brk id="184" max="16383" man="1"/>
    <brk id="241" max="16383" man="1"/>
    <brk id="299" max="16383" man="1"/>
    <brk id="354" max="16383" man="1"/>
    <brk id="406" max="16383" man="1"/>
    <brk id="453" max="16383" man="1"/>
    <brk id="507" max="16383" man="1"/>
    <brk id="593" max="16383" man="1"/>
    <brk id="638" max="16383" man="1"/>
    <brk id="686" max="16383" man="1"/>
    <brk id="718" max="16383" man="1"/>
    <brk id="7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ทั้งประเทศ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Alro</cp:lastModifiedBy>
  <cp:lastPrinted>2025-01-24T03:46:14Z</cp:lastPrinted>
  <dcterms:created xsi:type="dcterms:W3CDTF">2025-01-23T09:34:37Z</dcterms:created>
  <dcterms:modified xsi:type="dcterms:W3CDTF">2025-01-24T03:46:27Z</dcterms:modified>
</cp:coreProperties>
</file>